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516" windowWidth="7800" windowHeight="6264" firstSheet="1" activeTab="1"/>
  </bookViews>
  <sheets>
    <sheet name="Задача1-Прим" sheetId="1" r:id="rId1"/>
    <sheet name="Задача 2 - Параметры" sheetId="2" r:id="rId2"/>
    <sheet name="Задача2-П1+" sheetId="3" r:id="rId3"/>
    <sheet name="Задача2-П2-(КZ хорош)-" sheetId="4" r:id="rId4"/>
    <sheet name="Задача2-П3(КZ высок)" sheetId="5" r:id="rId5"/>
    <sheet name="Задача2-П4(RuN надвое)" sheetId="6" r:id="rId6"/>
    <sheet name="Param3" sheetId="7" r:id="rId7"/>
    <sheet name="EHD" sheetId="8" r:id="rId8"/>
    <sheet name="nhDNA in blood" sheetId="9" r:id="rId9"/>
    <sheet name="Tab&amp;Fig" sheetId="10" r:id="rId10"/>
    <sheet name="B13-2_Y-B11" sheetId="11" r:id="rId11"/>
    <sheet name="hDNA" sheetId="12" r:id="rId12"/>
    <sheet name="genotek-Oragene" sheetId="13" r:id="rId13"/>
    <sheet name="DNA-yield" sheetId="14" r:id="rId14"/>
  </sheets>
  <definedNames/>
  <calcPr fullCalcOnLoad="1"/>
</workbook>
</file>

<file path=xl/comments1.xml><?xml version="1.0" encoding="utf-8"?>
<comments xmlns="http://schemas.openxmlformats.org/spreadsheetml/2006/main">
  <authors>
    <author>Михаил Песляк</author>
  </authors>
  <commentList>
    <comment ref="E113" authorId="0">
      <text>
        <r>
          <rPr>
            <sz val="8"/>
            <rFont val="Tahoma"/>
            <family val="0"/>
          </rPr>
          <t xml:space="preserve">Минимум по столбцу. Т.е. можно только алгоритмически, если точно известно, что NL не пустое.
</t>
        </r>
      </text>
    </comment>
    <comment ref="E13" authorId="0">
      <text>
        <r>
          <rPr>
            <sz val="8"/>
            <rFont val="Tahoma"/>
            <family val="0"/>
          </rPr>
          <t xml:space="preserve">10000 - признак резидентной фракции R
</t>
        </r>
      </text>
    </comment>
    <comment ref="C12" authorId="0">
      <text>
        <r>
          <rPr>
            <sz val="8"/>
            <rFont val="Tahoma"/>
            <family val="0"/>
          </rPr>
          <t xml:space="preserve">Вспомогательный вектор (VS до добавления части из VB).
Случайные числа, некоторые из них заменены на ноль.
</t>
        </r>
      </text>
    </comment>
    <comment ref="A12" authorId="0">
      <text>
        <r>
          <rPr>
            <sz val="8"/>
            <rFont val="Tahoma"/>
            <family val="0"/>
          </rPr>
          <t xml:space="preserve">Номер присвоенный до упорядочивания. Используется для формирования псевдослучайных чисел.
</t>
        </r>
      </text>
    </comment>
    <comment ref="B12" authorId="0">
      <text>
        <r>
          <rPr>
            <sz val="8"/>
            <rFont val="Tahoma"/>
            <family val="0"/>
          </rPr>
          <t xml:space="preserve">Случайные числа, некоторые из которых заменены на 0. Они и все остальное упорядочены по их возрастанию.
</t>
        </r>
      </text>
    </comment>
    <comment ref="E12" authorId="0">
      <text>
        <r>
          <rPr>
            <sz val="8"/>
            <rFont val="Tahoma"/>
            <family val="0"/>
          </rPr>
          <t xml:space="preserve">Кроме видов, для которых VB(k)=0. 
</t>
        </r>
      </text>
    </comment>
  </commentList>
</comments>
</file>

<file path=xl/comments10.xml><?xml version="1.0" encoding="utf-8"?>
<comments xmlns="http://schemas.openxmlformats.org/spreadsheetml/2006/main">
  <authors>
    <author>Михаил Песляк</author>
  </authors>
  <commentList>
    <comment ref="B43" authorId="0">
      <text>
        <r>
          <rPr>
            <sz val="8"/>
            <rFont val="Tahoma"/>
            <family val="0"/>
          </rPr>
          <t xml:space="preserve">Зачем взят коэффициент 2?
</t>
        </r>
      </text>
    </comment>
    <comment ref="B46" authorId="0">
      <text>
        <r>
          <rPr>
            <sz val="8"/>
            <rFont val="Tahoma"/>
            <family val="0"/>
          </rPr>
          <t xml:space="preserve">Visio
</t>
        </r>
      </text>
    </comment>
    <comment ref="E45" authorId="0">
      <text>
        <r>
          <rPr>
            <sz val="8"/>
            <rFont val="Tahoma"/>
            <family val="0"/>
          </rPr>
          <t xml:space="preserve">В предположении, что BC составляет 1% от всей крови
</t>
        </r>
      </text>
    </comment>
    <comment ref="B13" authorId="0">
      <text>
        <r>
          <rPr>
            <b/>
            <sz val="8"/>
            <rFont val="Tahoma"/>
            <family val="0"/>
          </rPr>
          <t>мкл чего?</t>
        </r>
        <r>
          <rPr>
            <sz val="8"/>
            <rFont val="Tahoma"/>
            <family val="0"/>
          </rPr>
          <t xml:space="preserve">
</t>
        </r>
      </text>
    </comment>
  </commentList>
</comments>
</file>

<file path=xl/comments11.xml><?xml version="1.0" encoding="utf-8"?>
<comments xmlns="http://schemas.openxmlformats.org/spreadsheetml/2006/main">
  <authors>
    <author>Михаил Песляк</author>
  </authors>
  <commentList>
    <comment ref="D94" authorId="0">
      <text>
        <r>
          <rPr>
            <sz val="8"/>
            <rFont val="Tahoma"/>
            <family val="0"/>
          </rPr>
          <t xml:space="preserve">Узкое место, поскольку нужно отпределить от веса пептидогликана...
</t>
        </r>
      </text>
    </comment>
  </commentList>
</comments>
</file>

<file path=xl/comments13.xml><?xml version="1.0" encoding="utf-8"?>
<comments xmlns="http://schemas.openxmlformats.org/spreadsheetml/2006/main">
  <authors>
    <author>Михаил Песляк</author>
  </authors>
  <commentList>
    <comment ref="H6" authorId="0">
      <text>
        <r>
          <rPr>
            <sz val="8"/>
            <rFont val="Tahoma"/>
            <family val="0"/>
          </rPr>
          <t xml:space="preserve">Не попало в подсчет hDNA и bacDNA (16S - универсал)
</t>
        </r>
      </text>
    </comment>
  </commentList>
</comments>
</file>

<file path=xl/comments2.xml><?xml version="1.0" encoding="utf-8"?>
<comments xmlns="http://schemas.openxmlformats.org/spreadsheetml/2006/main">
  <authors>
    <author>Михаил Песляк</author>
  </authors>
  <commentList>
    <comment ref="D25" authorId="0">
      <text>
        <r>
          <rPr>
            <sz val="8"/>
            <rFont val="Tahoma"/>
            <family val="0"/>
          </rPr>
          <t xml:space="preserve">Это если считать, что они есть только в фагоцитах (впрочем согласно 26865079) в BC(buffy coat) 4,19E+7. .
</t>
        </r>
      </text>
    </comment>
    <comment ref="E22" authorId="0">
      <text>
        <r>
          <rPr>
            <sz val="8"/>
            <rFont val="Tahoma"/>
            <family val="0"/>
          </rPr>
          <t xml:space="preserve">В работе 27239228 приводится соотношение между количеством геномов и копий 16S для E.coli. И там взят коэф. 7.
</t>
        </r>
      </text>
    </comment>
    <comment ref="G25" authorId="0">
      <text>
        <r>
          <rPr>
            <sz val="8"/>
            <rFont val="Tahoma"/>
            <family val="0"/>
          </rPr>
          <t xml:space="preserve">Это если считать, что они есть только в фагоцитах (впрочем согласно 26865079) в BC(buffy coat) 4,19E+7. .
</t>
        </r>
      </text>
    </comment>
  </commentList>
</comments>
</file>

<file path=xl/comments3.xml><?xml version="1.0" encoding="utf-8"?>
<comments xmlns="http://schemas.openxmlformats.org/spreadsheetml/2006/main">
  <authors>
    <author>Михаил Песляк</author>
  </authors>
  <commentList>
    <comment ref="E137" authorId="0">
      <text>
        <r>
          <rPr>
            <sz val="8"/>
            <rFont val="Tahoma"/>
            <family val="0"/>
          </rPr>
          <t xml:space="preserve">Минимум по столбцу. Т.е. можно только алгоритмически, если точно известно, что есть хотя бы один NR
</t>
        </r>
      </text>
    </comment>
    <comment ref="E37" authorId="0">
      <text>
        <r>
          <rPr>
            <sz val="8"/>
            <rFont val="Tahoma"/>
            <family val="0"/>
          </rPr>
          <t xml:space="preserve">10000 - признак резидентной фракции R
</t>
        </r>
      </text>
    </comment>
    <comment ref="C36" authorId="0">
      <text>
        <r>
          <rPr>
            <sz val="8"/>
            <rFont val="Tahoma"/>
            <family val="0"/>
          </rPr>
          <t xml:space="preserve">Вспомогательный массив (PS до добавления части из PB).
Случайные числа, некоторые из них заменены на ноль.
</t>
        </r>
      </text>
    </comment>
    <comment ref="A36" authorId="0">
      <text>
        <r>
          <rPr>
            <sz val="8"/>
            <rFont val="Tahoma"/>
            <family val="0"/>
          </rPr>
          <t xml:space="preserve">Номер присвоенный до упорядочивания. Используется для формирования псевдослучайных чисел.
</t>
        </r>
      </text>
    </comment>
    <comment ref="B36" authorId="0">
      <text>
        <r>
          <rPr>
            <sz val="8"/>
            <rFont val="Tahoma"/>
            <family val="0"/>
          </rPr>
          <t xml:space="preserve">Случайные числа, некоторые из которых заменены на 0. Они и все остальное упорядочены по их возрастанию.
</t>
        </r>
      </text>
    </comment>
    <comment ref="E36" authorId="0">
      <text>
        <r>
          <rPr>
            <sz val="8"/>
            <rFont val="Tahoma"/>
            <family val="0"/>
          </rPr>
          <t xml:space="preserve">Кроме видов, для которых VB(k)=0. 
</t>
        </r>
      </text>
    </comment>
    <comment ref="F132" authorId="0">
      <text>
        <r>
          <rPr>
            <sz val="8"/>
            <rFont val="Tahoma"/>
            <family val="0"/>
          </rPr>
          <t xml:space="preserve">Включен в N на шаге 2,  несмотря на наличие при формировании резидентной компоненты. Когда она столь мала, то будет признана нерезидентной.
</t>
        </r>
      </text>
    </comment>
  </commentList>
</comments>
</file>

<file path=xl/comments4.xml><?xml version="1.0" encoding="utf-8"?>
<comments xmlns="http://schemas.openxmlformats.org/spreadsheetml/2006/main">
  <authors>
    <author>Михаил Песляк</author>
  </authors>
  <commentList>
    <comment ref="E132" authorId="0">
      <text>
        <r>
          <rPr>
            <sz val="8"/>
            <rFont val="Tahoma"/>
            <family val="0"/>
          </rPr>
          <t xml:space="preserve">Минимум по столбцу. Т.е. можно только алгоритмически, если точно известно, что есть хотя бы один NR
</t>
        </r>
      </text>
    </comment>
    <comment ref="E32" authorId="0">
      <text>
        <r>
          <rPr>
            <sz val="8"/>
            <rFont val="Tahoma"/>
            <family val="0"/>
          </rPr>
          <t xml:space="preserve">10000 - признак резидентной фракции R
</t>
        </r>
      </text>
    </comment>
    <comment ref="C31" authorId="0">
      <text>
        <r>
          <rPr>
            <sz val="8"/>
            <rFont val="Tahoma"/>
            <family val="0"/>
          </rPr>
          <t xml:space="preserve">Вспомогательный массив (PS до добавления части из PB).
Случайные числа, некоторые из них заменены на ноль.
</t>
        </r>
      </text>
    </comment>
    <comment ref="A31" authorId="0">
      <text>
        <r>
          <rPr>
            <sz val="8"/>
            <rFont val="Tahoma"/>
            <family val="0"/>
          </rPr>
          <t xml:space="preserve">Номер присвоенный до упорядочивания. Используется для формирования псевдослучайных чисел.
</t>
        </r>
      </text>
    </comment>
    <comment ref="B31" authorId="0">
      <text>
        <r>
          <rPr>
            <sz val="8"/>
            <rFont val="Tahoma"/>
            <family val="0"/>
          </rPr>
          <t xml:space="preserve">Случайные числа, некоторые из которых заменены на 0. Они и все остальное упорядочены по их возрастанию.
</t>
        </r>
      </text>
    </comment>
    <comment ref="E31" authorId="0">
      <text>
        <r>
          <rPr>
            <sz val="8"/>
            <rFont val="Tahoma"/>
            <family val="0"/>
          </rPr>
          <t xml:space="preserve">Кроме видов, для которых VB(k)=0. 
</t>
        </r>
      </text>
    </comment>
    <comment ref="F127" authorId="0">
      <text>
        <r>
          <rPr>
            <sz val="8"/>
            <rFont val="Tahoma"/>
            <family val="0"/>
          </rPr>
          <t xml:space="preserve">Включен в N на шаге 2,  несмотря на наличие при формировании резидентной компоненты. Когда она столь мала, то будет признана нерезидентной.
</t>
        </r>
      </text>
    </comment>
    <comment ref="A2" authorId="0">
      <text>
        <r>
          <rPr>
            <sz val="8"/>
            <rFont val="Tahoma"/>
            <family val="0"/>
          </rPr>
          <t xml:space="preserve">На слайде
</t>
        </r>
      </text>
    </comment>
  </commentList>
</comments>
</file>

<file path=xl/comments5.xml><?xml version="1.0" encoding="utf-8"?>
<comments xmlns="http://schemas.openxmlformats.org/spreadsheetml/2006/main">
  <authors>
    <author>Михаил Песляк</author>
  </authors>
  <commentList>
    <comment ref="E140" authorId="0">
      <text>
        <r>
          <rPr>
            <sz val="8"/>
            <rFont val="Tahoma"/>
            <family val="0"/>
          </rPr>
          <t xml:space="preserve">Минимум по столбцу. Т.е. можно только алгоритмически, если точно известно, что есть хотя бы один NR
</t>
        </r>
      </text>
    </comment>
    <comment ref="E40" authorId="0">
      <text>
        <r>
          <rPr>
            <sz val="8"/>
            <rFont val="Tahoma"/>
            <family val="0"/>
          </rPr>
          <t xml:space="preserve">10000 - признак резидентной фракции R
</t>
        </r>
      </text>
    </comment>
    <comment ref="C39" authorId="0">
      <text>
        <r>
          <rPr>
            <sz val="8"/>
            <rFont val="Tahoma"/>
            <family val="0"/>
          </rPr>
          <t xml:space="preserve">Вспомогательный массив (PS до добавления части из PB).
Случайные числа, некоторые из них заменены на ноль.
</t>
        </r>
      </text>
    </comment>
    <comment ref="A39" authorId="0">
      <text>
        <r>
          <rPr>
            <sz val="8"/>
            <rFont val="Tahoma"/>
            <family val="0"/>
          </rPr>
          <t xml:space="preserve">Номер присвоенный до упорядочивания. Используется для формирования псевдослучайных чисел.
</t>
        </r>
      </text>
    </comment>
    <comment ref="B39" authorId="0">
      <text>
        <r>
          <rPr>
            <sz val="8"/>
            <rFont val="Tahoma"/>
            <family val="0"/>
          </rPr>
          <t xml:space="preserve">Случайные числа, некоторые из которых заменены на 0. Они и все остальное упорядочены по их возрастанию.
</t>
        </r>
      </text>
    </comment>
    <comment ref="E39" authorId="0">
      <text>
        <r>
          <rPr>
            <sz val="8"/>
            <rFont val="Tahoma"/>
            <family val="0"/>
          </rPr>
          <t xml:space="preserve">Кроме видов, для которых VB(k)=0. 
</t>
        </r>
      </text>
    </comment>
    <comment ref="F135" authorId="0">
      <text>
        <r>
          <rPr>
            <sz val="8"/>
            <rFont val="Tahoma"/>
            <family val="0"/>
          </rPr>
          <t xml:space="preserve">Включен в N на шаге 2,  несмотря на наличие при формировании резидентной компоненты. Когда она столь мала, то будет признана нерезидентной.
</t>
        </r>
      </text>
    </comment>
  </commentList>
</comments>
</file>

<file path=xl/comments6.xml><?xml version="1.0" encoding="utf-8"?>
<comments xmlns="http://schemas.openxmlformats.org/spreadsheetml/2006/main">
  <authors>
    <author>Михаил Песляк</author>
  </authors>
  <commentList>
    <comment ref="E127" authorId="0">
      <text>
        <r>
          <rPr>
            <sz val="8"/>
            <rFont val="Tahoma"/>
            <family val="0"/>
          </rPr>
          <t xml:space="preserve">Минимум по столбцу. Т.е. можно только алгоритмически, если точно известно, что есть хотя бы один NR
</t>
        </r>
      </text>
    </comment>
    <comment ref="E27" authorId="0">
      <text>
        <r>
          <rPr>
            <sz val="8"/>
            <rFont val="Tahoma"/>
            <family val="0"/>
          </rPr>
          <t xml:space="preserve">10000 - признак резидентной фракции R
</t>
        </r>
      </text>
    </comment>
    <comment ref="C26" authorId="0">
      <text>
        <r>
          <rPr>
            <sz val="8"/>
            <rFont val="Tahoma"/>
            <family val="0"/>
          </rPr>
          <t xml:space="preserve">Вспомогательный массив (PS до добавления части из PB).
Случайные числа, некоторые из них заменены на ноль.
</t>
        </r>
      </text>
    </comment>
    <comment ref="A26" authorId="0">
      <text>
        <r>
          <rPr>
            <sz val="8"/>
            <rFont val="Tahoma"/>
            <family val="0"/>
          </rPr>
          <t xml:space="preserve">Номер присвоенный до упорядочивания. Используется для формирования псевдослучайных чисел.
</t>
        </r>
      </text>
    </comment>
    <comment ref="B26" authorId="0">
      <text>
        <r>
          <rPr>
            <sz val="8"/>
            <rFont val="Tahoma"/>
            <family val="0"/>
          </rPr>
          <t xml:space="preserve">Случайные числа, некоторые из которых заменены на 0. Они и все остальное упорядочены по их возрастанию.
</t>
        </r>
      </text>
    </comment>
    <comment ref="E26" authorId="0">
      <text>
        <r>
          <rPr>
            <sz val="8"/>
            <rFont val="Tahoma"/>
            <family val="0"/>
          </rPr>
          <t xml:space="preserve">Кроме видов, для которых VB(k)=0. 
</t>
        </r>
      </text>
    </comment>
    <comment ref="F122" authorId="0">
      <text>
        <r>
          <rPr>
            <sz val="8"/>
            <rFont val="Tahoma"/>
            <family val="0"/>
          </rPr>
          <t xml:space="preserve">Включен в N на шаге 2,  несмотря на наличие при формировании резидентной компоненты. Когда она столь мала, то будет признана нерезидентной.
</t>
        </r>
      </text>
    </comment>
  </commentList>
</comments>
</file>

<file path=xl/comments7.xml><?xml version="1.0" encoding="utf-8"?>
<comments xmlns="http://schemas.openxmlformats.org/spreadsheetml/2006/main">
  <authors>
    <author>Михаил Песляк</author>
  </authors>
  <commentList>
    <comment ref="A14" authorId="0">
      <text>
        <r>
          <rPr>
            <b/>
            <sz val="8"/>
            <rFont val="Tahoma"/>
            <family val="0"/>
          </rPr>
          <t xml:space="preserve">PMID </t>
        </r>
        <r>
          <rPr>
            <sz val="8"/>
            <rFont val="Tahoma"/>
            <family val="0"/>
          </rPr>
          <t>27239228</t>
        </r>
      </text>
    </comment>
  </commentList>
</comments>
</file>

<file path=xl/comments8.xml><?xml version="1.0" encoding="utf-8"?>
<comments xmlns="http://schemas.openxmlformats.org/spreadsheetml/2006/main">
  <authors>
    <author>Михаил Песляк</author>
  </authors>
  <commentList>
    <comment ref="S1" authorId="0">
      <text>
        <r>
          <rPr>
            <sz val="8"/>
            <rFont val="Tahoma"/>
            <family val="0"/>
          </rPr>
          <t xml:space="preserve">Во столько раз увеличилось относительное присутствие nhDNA.
</t>
        </r>
      </text>
    </comment>
    <comment ref="T1" authorId="0">
      <text>
        <r>
          <rPr>
            <sz val="8"/>
            <rFont val="Tahoma"/>
            <family val="0"/>
          </rPr>
          <t xml:space="preserve">Аналитическая оценка отклонения двух распределений только по значениям относительного присутствия &gt; 0,5%.
</t>
        </r>
      </text>
    </comment>
    <comment ref="U7" authorId="0">
      <text>
        <r>
          <rPr>
            <sz val="8"/>
            <rFont val="Tahoma"/>
            <family val="0"/>
          </rPr>
          <t xml:space="preserve">Расчет н.отклонений по данным, представленным в Supplements к статье (Table S1).
</t>
        </r>
      </text>
    </comment>
    <comment ref="V19" authorId="0">
      <text>
        <r>
          <rPr>
            <sz val="8"/>
            <rFont val="Tahoma"/>
            <family val="0"/>
          </rPr>
          <t xml:space="preserve">Расчет н.отклонений по данным, представленным в Supplements к статье.
</t>
        </r>
      </text>
    </comment>
    <comment ref="U9" authorId="0">
      <text>
        <r>
          <rPr>
            <b/>
            <sz val="8"/>
            <rFont val="Tahoma"/>
            <family val="0"/>
          </rPr>
          <t>Из статьи Our studies with blood enrichment are complicated by the fact that the source material was from a commercial vendor with no specifications of collection date, source information (normal, disease or surgical patient) or method of storage prior to shipment.
Bacteria from the genus Pseudomonas represented the majority of reads in the enriched dataset, which could reflect the presence of these organisms in the original host, but may represent environmental contamination during or after sample collection.</t>
        </r>
      </text>
    </comment>
    <comment ref="B9" authorId="0">
      <text>
        <r>
          <rPr>
            <b/>
            <sz val="8"/>
            <rFont val="Tahoma"/>
            <family val="0"/>
          </rPr>
          <t>Ссылка на Bioproject
PRJNA208062</t>
        </r>
        <r>
          <rPr>
            <sz val="8"/>
            <rFont val="Tahoma"/>
            <family val="0"/>
          </rPr>
          <t xml:space="preserve">
Картировано на HOMD</t>
        </r>
      </text>
    </comment>
    <comment ref="B7" authorId="0">
      <text>
        <r>
          <rPr>
            <sz val="8"/>
            <rFont val="Tahoma"/>
            <family val="0"/>
          </rPr>
          <t xml:space="preserve">Картировано на HOMD
</t>
        </r>
      </text>
    </comment>
    <comment ref="B8" authorId="0">
      <text>
        <r>
          <rPr>
            <sz val="8"/>
            <rFont val="Tahoma"/>
            <family val="0"/>
          </rPr>
          <t xml:space="preserve">Картировано на HOMD
</t>
        </r>
      </text>
    </comment>
    <comment ref="R1" authorId="0">
      <text>
        <r>
          <rPr>
            <sz val="8"/>
            <rFont val="Tahoma"/>
            <family val="0"/>
          </rPr>
          <t xml:space="preserve">% hDNA от исходной, который не удалось элиминировать. По формуле предполагается, что количество nhDNA остается неизменным. По факту 1-3% nhDNA также элиминируется
</t>
        </r>
      </text>
    </comment>
    <comment ref="I9" authorId="0">
      <text>
        <r>
          <rPr>
            <sz val="8"/>
            <rFont val="Tahoma"/>
            <family val="0"/>
          </rPr>
          <t xml:space="preserve">Все, что не картировалось как hDNA и на референс HOMD.
</t>
        </r>
      </text>
    </comment>
    <comment ref="P9" authorId="0">
      <text>
        <r>
          <rPr>
            <b/>
            <sz val="8"/>
            <rFont val="Tahoma"/>
            <family val="0"/>
          </rPr>
          <t>Все, что не картировалось как hDNA или на референс HOMD.</t>
        </r>
        <r>
          <rPr>
            <sz val="8"/>
            <rFont val="Tahoma"/>
            <family val="0"/>
          </rPr>
          <t xml:space="preserve">
</t>
        </r>
      </text>
    </comment>
    <comment ref="R29" authorId="0">
      <text>
        <r>
          <rPr>
            <sz val="8"/>
            <rFont val="Tahoma"/>
            <family val="0"/>
          </rPr>
          <t xml:space="preserve">% hDNA от исходной, который не удалось элиминировать (без учета mtDNA, которая практически не элиминируется). По формуле предполагается, что количество mtDNA остается неизменным. 
</t>
        </r>
      </text>
    </comment>
    <comment ref="S29" authorId="0">
      <text>
        <r>
          <rPr>
            <sz val="8"/>
            <rFont val="Tahoma"/>
            <family val="0"/>
          </rPr>
          <t xml:space="preserve">Во столько раз увеличилось относительное присутствие nhDNA.
</t>
        </r>
      </text>
    </comment>
    <comment ref="D2" authorId="0">
      <text>
        <r>
          <rPr>
            <sz val="8"/>
            <rFont val="Tahoma"/>
            <family val="0"/>
          </rPr>
          <t xml:space="preserve">Сумма длин?
</t>
        </r>
      </text>
    </comment>
    <comment ref="K2" authorId="0">
      <text>
        <r>
          <rPr>
            <sz val="8"/>
            <rFont val="Tahoma"/>
            <family val="0"/>
          </rPr>
          <t xml:space="preserve">Сумма длин?
</t>
        </r>
      </text>
    </comment>
    <comment ref="D10" authorId="0">
      <text>
        <r>
          <rPr>
            <sz val="8"/>
            <rFont val="Tahoma"/>
            <family val="0"/>
          </rPr>
          <t xml:space="preserve">Это споты
</t>
        </r>
      </text>
    </comment>
    <comment ref="K10" authorId="0">
      <text>
        <r>
          <rPr>
            <b/>
            <sz val="8"/>
            <rFont val="Tahoma"/>
            <family val="0"/>
          </rPr>
          <t>Это споты</t>
        </r>
      </text>
    </comment>
    <comment ref="P7" authorId="0">
      <text>
        <r>
          <rPr>
            <b/>
            <sz val="8"/>
            <rFont val="Tahoma"/>
            <family val="0"/>
          </rPr>
          <t>Михаил Песляк:</t>
        </r>
        <r>
          <rPr>
            <sz val="8"/>
            <rFont val="Tahoma"/>
            <family val="0"/>
          </rPr>
          <t xml:space="preserve">
</t>
        </r>
      </text>
    </comment>
  </commentList>
</comments>
</file>

<file path=xl/comments9.xml><?xml version="1.0" encoding="utf-8"?>
<comments xmlns="http://schemas.openxmlformats.org/spreadsheetml/2006/main">
  <authors>
    <author>Михаил Песляк</author>
  </authors>
  <commentList>
    <comment ref="E9" authorId="0">
      <text>
        <r>
          <rPr>
            <sz val="8"/>
            <rFont val="Tahoma"/>
            <family val="0"/>
          </rPr>
          <t xml:space="preserve">С применением стандартной кривой E.coli BL21
</t>
        </r>
      </text>
    </comment>
    <comment ref="E16" authorId="0">
      <text>
        <r>
          <rPr>
            <sz val="8"/>
            <rFont val="Tahoma"/>
            <family val="0"/>
          </rPr>
          <t xml:space="preserve">Откуда столько?
</t>
        </r>
      </text>
    </comment>
    <comment ref="H9" authorId="0">
      <text>
        <r>
          <rPr>
            <b/>
            <sz val="8"/>
            <rFont val="Tahoma"/>
            <family val="0"/>
          </rPr>
          <t>The standard
curve for 16S rRNA gene number quantification was performed by generating a series of 10-fold dilutions from 1
to 107 of 16S rRNA gene copies per reaction using plasmid
DNA containing the complete 16S rRNA gene sequence
of a Escherichia coli BL21 strain.</t>
        </r>
        <r>
          <rPr>
            <sz val="8"/>
            <rFont val="Tahoma"/>
            <family val="0"/>
          </rPr>
          <t xml:space="preserve">
</t>
        </r>
      </text>
    </comment>
    <comment ref="A26" authorId="0">
      <text>
        <r>
          <rPr>
            <b/>
            <sz val="8"/>
            <rFont val="Tahoma"/>
            <family val="0"/>
          </rPr>
          <t xml:space="preserve">
Pbac denotes 16S ribosomal DNA gene sequences that belongs to the Proteobacteria phylum.</t>
        </r>
        <r>
          <rPr>
            <sz val="8"/>
            <rFont val="Tahoma"/>
            <family val="0"/>
          </rPr>
          <t xml:space="preserve">
</t>
        </r>
      </text>
    </comment>
    <comment ref="A22" authorId="0">
      <text>
        <r>
          <rPr>
            <b/>
            <sz val="8"/>
            <rFont val="Tahoma"/>
            <family val="0"/>
          </rPr>
          <t>Eubac denotes 16S ribosomal DNA gene sequences, common to the vast majority of the bacteria phyla.</t>
        </r>
        <r>
          <rPr>
            <sz val="8"/>
            <rFont val="Tahoma"/>
            <family val="0"/>
          </rPr>
          <t xml:space="preserve">
</t>
        </r>
      </text>
    </comment>
    <comment ref="C9" authorId="0">
      <text>
        <r>
          <rPr>
            <b/>
            <sz val="8"/>
            <rFont val="Tahoma"/>
            <family val="0"/>
          </rPr>
          <t>The amount of amplified DNA was determined
using a 16S rDNA standard curve obtained by real-time PCR
from dilutions ranging from 0.001 to 10 ng/μl of E. coli BL21
DNA</t>
        </r>
        <r>
          <rPr>
            <sz val="8"/>
            <rFont val="Tahoma"/>
            <family val="0"/>
          </rPr>
          <t xml:space="preserve">
</t>
        </r>
      </text>
    </comment>
    <comment ref="C16" authorId="0">
      <text>
        <r>
          <rPr>
            <sz val="8"/>
            <rFont val="Tahoma"/>
            <family val="0"/>
          </rPr>
          <t xml:space="preserve">Откуда столько?
</t>
        </r>
      </text>
    </comment>
    <comment ref="I9" authorId="0">
      <text>
        <r>
          <rPr>
            <b/>
            <sz val="8"/>
            <rFont val="Tahoma"/>
            <family val="0"/>
          </rPr>
          <t>The standard
curve for 16S rRNA gene number quantification was performed by generating a series of 10-fold dilutions from 1
to 107 of 16S rRNA gene copies per reaction using plasmid
DNA containing the complete 16S rRNA gene sequence
of a Escherichia coli BL21 strain.</t>
        </r>
        <r>
          <rPr>
            <sz val="8"/>
            <rFont val="Tahoma"/>
            <family val="0"/>
          </rPr>
          <t xml:space="preserve">
</t>
        </r>
      </text>
    </comment>
    <comment ref="B77" authorId="0">
      <text>
        <r>
          <rPr>
            <sz val="8"/>
            <rFont val="Tahoma"/>
            <family val="0"/>
          </rPr>
          <t xml:space="preserve">BC - buffy coat
</t>
        </r>
      </text>
    </comment>
    <comment ref="I80" authorId="0">
      <text>
        <r>
          <rPr>
            <sz val="8"/>
            <rFont val="Tahoma"/>
            <family val="0"/>
          </rPr>
          <t xml:space="preserve">В предположении, что BC составляет около 1 % всей крови
</t>
        </r>
      </text>
    </comment>
    <comment ref="A72" authorId="0">
      <text>
        <r>
          <rPr>
            <sz val="8"/>
            <rFont val="Tahoma"/>
            <family val="0"/>
          </rPr>
          <t xml:space="preserve">Контрольный тест показал, что вода-реагент содержит 1,5Е+4 шт/мл (Рис S1). Результаты по плазме нельзя считать достоверными (они преимущественно ложноположительны).
</t>
        </r>
      </text>
    </comment>
    <comment ref="G9" authorId="0">
      <text>
        <r>
          <rPr>
            <b/>
            <sz val="8"/>
            <rFont val="Tahoma"/>
            <family val="0"/>
          </rPr>
          <t>The standard
curve for 16S rRNA gene number quantification was performed by generating a series of 10-fold dilutions from 1
to 107 of 16S rRNA gene copies per reaction using plasmid
DNA containing the complete 16S rRNA gene sequence
of a Escherichia coli BL21 strain.</t>
        </r>
        <r>
          <rPr>
            <sz val="8"/>
            <rFont val="Tahoma"/>
            <family val="0"/>
          </rPr>
          <t xml:space="preserve">
</t>
        </r>
      </text>
    </comment>
    <comment ref="A38" authorId="0">
      <text>
        <r>
          <rPr>
            <sz val="8"/>
            <rFont val="Tahoma"/>
            <family val="0"/>
          </rPr>
          <t>We investigated the bias of the MiSeq pipeline by assessing the impact of sample dilution and
variation of the relative proportions of bacterial 16S genes. We sequenced serial dilutions of the
plasmid-based mock community to obtain between 10 and 107 copies of 16S gene for each of the
14 bacterial strains (Fig 2A and 2B). Between 10e7 copies and 10e4 copies of the 16S gene, the relative proportions were consistent and close to the actual values as shown on the bar plot (Fig 2A)
and PCoA analysis (Fig 2B). However, at 10e3 copies or lower, the measured proportions progressively divert from the actual composition and the technical background (mainly arising from bacterial DNA contaminants present in the TAQ polymerase) represented an increasing fraction of
the reads (Fig 2A) and became closer to the profile of the negative control (H2O) (Fig 2B).</t>
        </r>
      </text>
    </comment>
    <comment ref="B31" authorId="0">
      <text>
        <r>
          <rPr>
            <sz val="8"/>
            <rFont val="Tahoma"/>
            <family val="0"/>
          </rPr>
          <t>А м.б. речь идет не о концентрации, а об общем количестве в образце.
Tests of sensitivity demonstrated the reliability and reproducibility of the pipeline down to
10e3 copies of 16S rDNA in our samples (каждой из 14-ти!), т.е. 1,4*10e4....</t>
        </r>
      </text>
    </comment>
    <comment ref="G30" authorId="0">
      <text>
        <r>
          <rPr>
            <sz val="8"/>
            <rFont val="Tahoma"/>
            <family val="0"/>
          </rPr>
          <t>Предположительный объем образца mock. Точный нигде не указан.
При 50 мкл - получаются цифры, коррелирующие с результатами работы.
26865079</t>
        </r>
      </text>
    </comment>
    <comment ref="K81" authorId="0">
      <text>
        <r>
          <rPr>
            <sz val="8"/>
            <rFont val="Tahoma"/>
            <family val="0"/>
          </rPr>
          <t xml:space="preserve">Ниже уровня контаминации в 10e3 на образец
</t>
        </r>
      </text>
    </comment>
    <comment ref="G2" authorId="0">
      <text>
        <r>
          <rPr>
            <b/>
            <sz val="8"/>
            <rFont val="Tahoma"/>
            <family val="0"/>
          </rPr>
          <t>Метод, который применялся в последующих двух работах.</t>
        </r>
        <r>
          <rPr>
            <sz val="8"/>
            <rFont val="Tahoma"/>
            <family val="0"/>
          </rPr>
          <t xml:space="preserve">
</t>
        </r>
      </text>
    </comment>
    <comment ref="H55" authorId="0">
      <text>
        <r>
          <rPr>
            <sz val="8"/>
            <rFont val="Tahoma"/>
            <family val="0"/>
          </rPr>
          <t xml:space="preserve">Контрольный тест показал, что вода-реагент содержит 1,5Е+4 шт/мл (Рис S1). Результаты по плазме нельзя считать полностью достоверными.
</t>
        </r>
      </text>
    </comment>
    <comment ref="H63" authorId="0">
      <text>
        <r>
          <rPr>
            <sz val="8"/>
            <rFont val="Tahoma"/>
            <family val="0"/>
          </rPr>
          <t xml:space="preserve">Сравнить с NTC, а также с оценкой уровня контаминации за счет реагентов (не менее 10e3)
</t>
        </r>
      </text>
    </comment>
    <comment ref="O83" authorId="0">
      <text>
        <r>
          <rPr>
            <sz val="8"/>
            <rFont val="Tahoma"/>
            <family val="0"/>
          </rPr>
          <t xml:space="preserve">Ради этой величины, которая ниже, чем 875 копий, которые могут быть обнаружены из-за загрязнения реагентов (27239228) 
</t>
        </r>
      </text>
    </comment>
    <comment ref="Q60" authorId="0">
      <text>
        <r>
          <rPr>
            <sz val="8"/>
            <rFont val="Tahoma"/>
            <family val="0"/>
          </rPr>
          <t xml:space="preserve">nhDNA
</t>
        </r>
      </text>
    </comment>
    <comment ref="C11" authorId="0">
      <text>
        <r>
          <rPr>
            <b/>
            <sz val="8"/>
            <rFont val="Tahoma"/>
            <family val="0"/>
          </rPr>
          <t>5,212 - всего участников</t>
        </r>
        <r>
          <rPr>
            <sz val="8"/>
            <rFont val="Tahoma"/>
            <family val="0"/>
          </rPr>
          <t xml:space="preserve">
</t>
        </r>
      </text>
    </comment>
    <comment ref="H14" authorId="0">
      <text>
        <r>
          <rPr>
            <b/>
            <sz val="8"/>
            <rFont val="Tahoma"/>
            <family val="0"/>
          </rPr>
          <t>Донорская кровь бралась после еды (об этом прямо сказано в статье).</t>
        </r>
      </text>
    </comment>
    <comment ref="H50" authorId="0">
      <text>
        <r>
          <rPr>
            <sz val="8"/>
            <rFont val="Tahoma"/>
            <family val="0"/>
          </rPr>
          <t xml:space="preserve">Самое непонятное расхождение
</t>
        </r>
      </text>
    </comment>
    <comment ref="H6" authorId="0">
      <text>
        <r>
          <rPr>
            <sz val="8"/>
            <rFont val="Tahoma"/>
            <family val="0"/>
          </rPr>
          <t xml:space="preserve">Цельная кровь, а также плазма, ВС и RBC
</t>
        </r>
      </text>
    </comment>
    <comment ref="B15" authorId="0">
      <text>
        <r>
          <rPr>
            <b/>
            <sz val="8"/>
            <rFont val="Tahoma"/>
            <family val="0"/>
          </rPr>
          <t>Неизвестно с мкл чего? Для цельной крови слишком много. Для Buffy coat - мало.</t>
        </r>
      </text>
    </comment>
    <comment ref="B17" authorId="0">
      <text>
        <r>
          <rPr>
            <b/>
            <sz val="8"/>
            <rFont val="Tahoma"/>
            <family val="0"/>
          </rPr>
          <t>в мкл чего?</t>
        </r>
        <r>
          <rPr>
            <sz val="8"/>
            <rFont val="Tahoma"/>
            <family val="0"/>
          </rPr>
          <t xml:space="preserve">
</t>
        </r>
      </text>
    </comment>
    <comment ref="B22" authorId="0">
      <text>
        <r>
          <rPr>
            <b/>
            <sz val="8"/>
            <rFont val="Tahoma"/>
            <family val="0"/>
          </rPr>
          <t>в мкл чего?</t>
        </r>
        <r>
          <rPr>
            <sz val="8"/>
            <rFont val="Tahoma"/>
            <family val="0"/>
          </rPr>
          <t xml:space="preserve">
</t>
        </r>
      </text>
    </comment>
    <comment ref="B26" authorId="0">
      <text>
        <r>
          <rPr>
            <b/>
            <sz val="8"/>
            <rFont val="Tahoma"/>
            <family val="0"/>
          </rPr>
          <t>в мкл чего?</t>
        </r>
        <r>
          <rPr>
            <sz val="8"/>
            <rFont val="Tahoma"/>
            <family val="0"/>
          </rPr>
          <t xml:space="preserve">
</t>
        </r>
      </text>
    </comment>
    <comment ref="B19" authorId="0">
      <text>
        <r>
          <rPr>
            <b/>
            <sz val="8"/>
            <rFont val="Tahoma"/>
            <family val="0"/>
          </rPr>
          <t>Что-то более чем 3 порядка концентрированное, чем кровь</t>
        </r>
        <r>
          <rPr>
            <sz val="8"/>
            <rFont val="Tahoma"/>
            <family val="0"/>
          </rPr>
          <t xml:space="preserve">
</t>
        </r>
      </text>
    </comment>
    <comment ref="C2" authorId="0">
      <text>
        <r>
          <rPr>
            <sz val="8"/>
            <rFont val="Tahoma"/>
            <family val="0"/>
          </rPr>
          <t xml:space="preserve">Обратиться к авторам, чтобы выяснить в мкл чего указаны результаты)
</t>
        </r>
      </text>
    </comment>
    <comment ref="E2" authorId="0">
      <text>
        <r>
          <rPr>
            <sz val="8"/>
            <rFont val="Tahoma"/>
            <family val="0"/>
          </rPr>
          <t xml:space="preserve">Обратиться к авторам, чтобы выяснить в мкл чего указаны результаты)
</t>
        </r>
      </text>
    </comment>
    <comment ref="C15" authorId="0">
      <text>
        <r>
          <rPr>
            <sz val="8"/>
            <rFont val="Tahoma"/>
            <family val="0"/>
          </rPr>
          <t xml:space="preserve">В норме в лейкоцитах 1 мкл цельной крови содержится около 50 нг hDNA.   Откуда остальное?
А если это на мкл лейкоцитарной пленки, то это слишком мало.
</t>
        </r>
      </text>
    </comment>
    <comment ref="E15" authorId="0">
      <text>
        <r>
          <rPr>
            <b/>
            <sz val="8"/>
            <rFont val="Tahoma"/>
            <family val="0"/>
          </rPr>
          <t>Михаил Песляк:</t>
        </r>
        <r>
          <rPr>
            <sz val="8"/>
            <rFont val="Tahoma"/>
            <family val="0"/>
          </rPr>
          <t xml:space="preserve">
</t>
        </r>
      </text>
    </comment>
    <comment ref="Q9" authorId="0">
      <text>
        <r>
          <rPr>
            <sz val="8"/>
            <rFont val="Tahoma"/>
            <family val="0"/>
          </rPr>
          <t xml:space="preserve">Т.е. вся DNA вместе
</t>
        </r>
      </text>
    </comment>
    <comment ref="M2" authorId="0">
      <text>
        <r>
          <rPr>
            <sz val="8"/>
            <rFont val="Tahoma"/>
            <family val="0"/>
          </rPr>
          <t xml:space="preserve">Краткая заметка, в которой приводится сводная информация по всем 200 участникам исследования.
</t>
        </r>
      </text>
    </comment>
    <comment ref="M14" authorId="0">
      <text>
        <r>
          <rPr>
            <sz val="8"/>
            <rFont val="Tahoma"/>
            <family val="0"/>
          </rPr>
          <t xml:space="preserve">Судя по значениям можно предположить, что это постпрандиальная кровь
</t>
        </r>
      </text>
    </comment>
    <comment ref="M42" authorId="0">
      <text>
        <r>
          <rPr>
            <sz val="8"/>
            <rFont val="Tahoma"/>
            <family val="0"/>
          </rPr>
          <t>+- 0,76E7 (по фиг.2а видно, что от 0 до 4E7
Коррелирует с информацией по донорам - 26865079</t>
        </r>
      </text>
    </comment>
    <comment ref="N44" authorId="0">
      <text>
        <r>
          <rPr>
            <sz val="8"/>
            <rFont val="Tahoma"/>
            <family val="0"/>
          </rPr>
          <t xml:space="preserve">См.закладку Genotek-Oragene.  Пересчет исходя из % на количество DNA, извлекаемое из цельной крови около 18 мкг/мл (% взяты от BC).
</t>
        </r>
      </text>
    </comment>
    <comment ref="H41" authorId="0">
      <text>
        <r>
          <rPr>
            <sz val="8"/>
            <rFont val="Tahoma"/>
            <family val="0"/>
          </rPr>
          <t xml:space="preserve">Из такого объема согласно описания тест-набора могло быть извлечено от 4 до 6 мкг DNA.
</t>
        </r>
      </text>
    </comment>
  </commentList>
</comments>
</file>

<file path=xl/sharedStrings.xml><?xml version="1.0" encoding="utf-8"?>
<sst xmlns="http://schemas.openxmlformats.org/spreadsheetml/2006/main" count="1378" uniqueCount="700">
  <si>
    <t>Z</t>
  </si>
  <si>
    <t>ZA</t>
  </si>
  <si>
    <t>Модельное</t>
  </si>
  <si>
    <t>Фракция</t>
  </si>
  <si>
    <t>R</t>
  </si>
  <si>
    <t>алгоритмически</t>
  </si>
  <si>
    <t>Исходный</t>
  </si>
  <si>
    <t>Расчетный</t>
  </si>
  <si>
    <t>Итого (кроме Z)</t>
  </si>
  <si>
    <t>ZN</t>
  </si>
  <si>
    <t>Логически (n=28), здесь совпадает с ZA</t>
  </si>
  <si>
    <t>Численный пример</t>
  </si>
  <si>
    <t>VSN</t>
  </si>
  <si>
    <t>VSR</t>
  </si>
  <si>
    <t>VB</t>
  </si>
  <si>
    <t>VS=ZA*VB+VSR</t>
  </si>
  <si>
    <t>VS</t>
  </si>
  <si>
    <t>Z=VS/VB</t>
  </si>
  <si>
    <t>k</t>
  </si>
  <si>
    <t>T</t>
  </si>
  <si>
    <t>Используется для формирования VS.</t>
  </si>
  <si>
    <t>ZA*TVB/TVS=TVSN/TVS</t>
  </si>
  <si>
    <t>TVB</t>
  </si>
  <si>
    <t>TVS</t>
  </si>
  <si>
    <t>TVSN</t>
  </si>
  <si>
    <t>TVSR</t>
  </si>
  <si>
    <t>ZN*TVB/TVS, здесь совпадает с Т</t>
  </si>
  <si>
    <t>Единица</t>
  </si>
  <si>
    <t>Кол-во</t>
  </si>
  <si>
    <t>Примечания</t>
  </si>
  <si>
    <t>шт/мл</t>
  </si>
  <si>
    <t>мл</t>
  </si>
  <si>
    <t>шт</t>
  </si>
  <si>
    <t>шт/шт</t>
  </si>
  <si>
    <t>%</t>
  </si>
  <si>
    <t>Площадь кожи взрослого человека</t>
  </si>
  <si>
    <t>мм2</t>
  </si>
  <si>
    <t>Площадь псориатического поражения</t>
  </si>
  <si>
    <t>S - псориатическая кожа (площадь)</t>
  </si>
  <si>
    <t>шт/мм2</t>
  </si>
  <si>
    <t>Диаметр панча</t>
  </si>
  <si>
    <t>мм</t>
  </si>
  <si>
    <t>Площадь биоптата из панча</t>
  </si>
  <si>
    <t>Количество биоптатов</t>
  </si>
  <si>
    <t>Фагоцитов в S</t>
  </si>
  <si>
    <t>bacDNA в нефолликулярной дерме</t>
  </si>
  <si>
    <t>КОЕ/мм3</t>
  </si>
  <si>
    <t>Толщина дермы</t>
  </si>
  <si>
    <t>КОЕ/мм2</t>
  </si>
  <si>
    <t>MPB (метагеном фагоцитов крови)</t>
  </si>
  <si>
    <t>MPPS (метагеном фагоцитов псориатической кожи)</t>
  </si>
  <si>
    <t>В предположении, что КОЕ соответствует 1 bacDNA и все они внутри фагоцитов.</t>
  </si>
  <si>
    <t>равно отношению площади биоптатов к площади всех псориатических высыпаний</t>
  </si>
  <si>
    <t>Параметр</t>
  </si>
  <si>
    <t>N</t>
  </si>
  <si>
    <t>ЗП</t>
  </si>
  <si>
    <t>ПП</t>
  </si>
  <si>
    <t xml:space="preserve">Фагоцитов в B </t>
  </si>
  <si>
    <t>Фагоциты в здоровой коже</t>
  </si>
  <si>
    <t xml:space="preserve">B - объем крови взрослого человека </t>
  </si>
  <si>
    <t>bacDNA в одном фагоците крови</t>
  </si>
  <si>
    <t>nhDNA в одном фагоците крови</t>
  </si>
  <si>
    <t>nhDNA в одном фагоците псориатической кожи</t>
  </si>
  <si>
    <t>bacDNA в одном дермальном фагоците кожи</t>
  </si>
  <si>
    <t xml:space="preserve">Примечание: Параметры на желтом фоне – переменные, </t>
  </si>
  <si>
    <t xml:space="preserve">выделенные красным шрифтом - производные от других. </t>
  </si>
  <si>
    <t>Y</t>
  </si>
  <si>
    <t>ZNL1</t>
  </si>
  <si>
    <t>ZNL2</t>
  </si>
  <si>
    <t xml:space="preserve">Логически (n=28), </t>
  </si>
  <si>
    <t xml:space="preserve">Логически (n=86), </t>
  </si>
  <si>
    <t>Среднее арифметическое</t>
  </si>
  <si>
    <t>DZ</t>
  </si>
  <si>
    <t>логически - NL</t>
  </si>
  <si>
    <t>ZNL3</t>
  </si>
  <si>
    <t xml:space="preserve">Логически (n=36), </t>
  </si>
  <si>
    <t>Шаг 1</t>
  </si>
  <si>
    <t>28,36,86</t>
  </si>
  <si>
    <t>Шаг 2</t>
  </si>
  <si>
    <t>алг. шаг 1</t>
  </si>
  <si>
    <t>28,36,86,16,60,47,27,78,72,91,64</t>
  </si>
  <si>
    <t>Шаг 0</t>
  </si>
  <si>
    <t>алг. шаг 2</t>
  </si>
  <si>
    <t>28,36,86,16,60,47,27,78,72,91,64,97</t>
  </si>
  <si>
    <t>Алгоритмическое финальное</t>
  </si>
  <si>
    <t>Среднее арифметическое - финал алгоритма</t>
  </si>
  <si>
    <t>Концентрации для подмножеств AVSN и AVSR</t>
  </si>
  <si>
    <t>Концентрации</t>
  </si>
  <si>
    <t>Концентрации для подмножеств APSN и APSR</t>
  </si>
  <si>
    <t>PSN</t>
  </si>
  <si>
    <t>PSR</t>
  </si>
  <si>
    <t>PB</t>
  </si>
  <si>
    <t>PS</t>
  </si>
  <si>
    <t>Z=PS/PB</t>
  </si>
  <si>
    <t>PS=ZA*PB+PSR</t>
  </si>
  <si>
    <t>TPB</t>
  </si>
  <si>
    <t>TPS</t>
  </si>
  <si>
    <t>TPSN</t>
  </si>
  <si>
    <t>TPSR</t>
  </si>
  <si>
    <t>ZA*TPB/TPS</t>
  </si>
  <si>
    <t>TPSN/TPS</t>
  </si>
  <si>
    <t>Модельный параметр (вносит разброс) в формирование PS</t>
  </si>
  <si>
    <t>Используется для формирования PS.</t>
  </si>
  <si>
    <t>APB - проба (кровь из вены)</t>
  </si>
  <si>
    <t xml:space="preserve">Фагоцитов в пробе APB </t>
  </si>
  <si>
    <t>RPB=АPB/B - доля выборки</t>
  </si>
  <si>
    <t>шт/мм3</t>
  </si>
  <si>
    <t xml:space="preserve">TPB - концентрация всех nhDNA в фагоцитах крови </t>
  </si>
  <si>
    <t>TVB - все nhDNA в фагоцитах B</t>
  </si>
  <si>
    <t>TPB - все nhDNA в выборке APB</t>
  </si>
  <si>
    <t>оно же TPB/TVB</t>
  </si>
  <si>
    <t xml:space="preserve">Выборка APS - биоптаты псориатической кожи </t>
  </si>
  <si>
    <t>Суммарная площадь</t>
  </si>
  <si>
    <t>Фагоцитов в выборке APS</t>
  </si>
  <si>
    <t>TVS - все nhDNA во всех фагоцитах S</t>
  </si>
  <si>
    <t>TPS - все nhDNA во всех фагоцитах выборки APS</t>
  </si>
  <si>
    <t>RPS=APS/S - доля выборки</t>
  </si>
  <si>
    <t>Z условный</t>
  </si>
  <si>
    <t>Как в тестовом примере</t>
  </si>
  <si>
    <t>TPSR=TPS-TPSN</t>
  </si>
  <si>
    <t>TPSN=Z*TPB</t>
  </si>
  <si>
    <t>МТ=TPSN/TPS</t>
  </si>
  <si>
    <t>Девиация (не по выборке)</t>
  </si>
  <si>
    <t>Коэффициент вариации</t>
  </si>
  <si>
    <t>DZ/Z</t>
  </si>
  <si>
    <t>Z1=Z-3*DZ</t>
  </si>
  <si>
    <t>Z2=Z+3*DZ</t>
  </si>
  <si>
    <t>: Включаются виды k, для которых Z1&lt;= Z(k)&lt;=Z2</t>
  </si>
  <si>
    <t>чуть-чуть не вошел в N</t>
  </si>
  <si>
    <t>Подфракция NL - включены логически</t>
  </si>
  <si>
    <t>Лог</t>
  </si>
  <si>
    <t xml:space="preserve">Логически (n=64), </t>
  </si>
  <si>
    <t xml:space="preserve">Логически (n=72), </t>
  </si>
  <si>
    <t>28,64,72</t>
  </si>
  <si>
    <t>алг 1</t>
  </si>
  <si>
    <t>28,64,72,47,53,66,78,97,91</t>
  </si>
  <si>
    <t>Z1</t>
  </si>
  <si>
    <t>Z2</t>
  </si>
  <si>
    <t>Для линий</t>
  </si>
  <si>
    <t>лог</t>
  </si>
  <si>
    <t xml:space="preserve">Логически (n=22), </t>
  </si>
  <si>
    <t xml:space="preserve">Логически (n=41), </t>
  </si>
  <si>
    <t xml:space="preserve">Логически (n=59), </t>
  </si>
  <si>
    <t>22,41,59</t>
  </si>
  <si>
    <t>22,41,59,85</t>
  </si>
  <si>
    <t>ZNL4</t>
  </si>
  <si>
    <t xml:space="preserve">Логически (n=85), </t>
  </si>
  <si>
    <t>алг 2</t>
  </si>
  <si>
    <t>22,41,59,85,34,9,84,60,66,78</t>
  </si>
  <si>
    <t>22,41,59,85,34,9,84,60,66,78,3,64,28,47,53,79,72,91</t>
  </si>
  <si>
    <t>Z1=МАКС(0;Z-3*DZ)</t>
  </si>
  <si>
    <t>: Включаются виды k, для которых Z1&lt;= Z(k)&lt;=Z2 (значения Z1 и Z2 с предидущего шага)</t>
  </si>
  <si>
    <t>Таких не оказалось….</t>
  </si>
  <si>
    <t>&lt; 0,33</t>
  </si>
  <si>
    <t>&gt; 0,33</t>
  </si>
  <si>
    <t>однородное распределение</t>
  </si>
  <si>
    <t>неоднородное распределение</t>
  </si>
  <si>
    <t>Однородное распред.</t>
  </si>
  <si>
    <t>KZ=DZ/Z</t>
  </si>
  <si>
    <t>Неверен.</t>
  </si>
  <si>
    <t>NOR</t>
  </si>
  <si>
    <t>В тестовом примере взята эта величина</t>
  </si>
  <si>
    <t>Нормирование VS и VSR (для приближения к реальным цифрам)</t>
  </si>
  <si>
    <t>Повышая - увеличиваем APS</t>
  </si>
  <si>
    <t>Пример 3. Нарушение гипотезы G. Фракция NL такова, что на втором шаге во фракцию N включаются все z(k) &lt;=Z2. В результате КZ &gt; 0,33</t>
  </si>
  <si>
    <t>Пример 4. Нарушение гипотезы G. Фракция S делится надвое из-за малости подфракции NL.</t>
  </si>
  <si>
    <t>Пример 2. Гипотеза G выполняется. Фракция NL такова, что на первом шаге заканчивается формирование фракции N. KZ &lt; 0,33</t>
  </si>
  <si>
    <t>Диаграммы на слайд.</t>
  </si>
  <si>
    <t>Объем биоптата из панча</t>
  </si>
  <si>
    <t>мм3</t>
  </si>
  <si>
    <t xml:space="preserve">Фагоциты в псориатической коже (средне-тяжелый) под мм2 </t>
  </si>
  <si>
    <t>Достаточно, чтобы при средне-тяжелом псориазе захватить весь эпидермис и всю дерму</t>
  </si>
  <si>
    <t>Расчетное по нескольким работам (сумма по всем типам фагоцитов в эпидермисе и дерме на основании реальных срезов) в верхнем слое толщиной 0,5 мм</t>
  </si>
  <si>
    <t>Не менее чем, поскольку в этом объем попадут некоторые фагоциты из дермальной жировой ткани (adipose tissue).</t>
  </si>
  <si>
    <t>LD - толщина верхнего слоя псориатической кожи = глубина проникновения панча</t>
  </si>
  <si>
    <t xml:space="preserve">TPS - концентрация всех nhDNA в фагоцитах верхнего слоя (LD мм) псориатической кожи </t>
  </si>
  <si>
    <t>Резидентная часть концентрации TPS</t>
  </si>
  <si>
    <t>Нерезидентная часть концентрации TPS</t>
  </si>
  <si>
    <t>NVSR</t>
  </si>
  <si>
    <t>NVB</t>
  </si>
  <si>
    <t>Нормирование VB (для приближения к реальным цифрам)</t>
  </si>
  <si>
    <t>Нормирование VSR (для приближения к реальным цифрам)</t>
  </si>
  <si>
    <t>Нормирование VB (для приближения к предполагаемым цифрам)</t>
  </si>
  <si>
    <t>Нормирование VSR (для приближения к предполагаемым цифрам)</t>
  </si>
  <si>
    <t>Фагоциты в псориатической коже (средне-тяжелый) концентрация в верхнем слое толщиной LD (рекомендованная глубина проникновения панча)</t>
  </si>
  <si>
    <t>France</t>
  </si>
  <si>
    <t>bacDNA</t>
  </si>
  <si>
    <t>16S</t>
  </si>
  <si>
    <t>Единицы</t>
  </si>
  <si>
    <t>Еда</t>
  </si>
  <si>
    <t>чел</t>
  </si>
  <si>
    <t>12-часов после последней еды</t>
  </si>
  <si>
    <t>qPCR</t>
  </si>
  <si>
    <t>г</t>
  </si>
  <si>
    <t>1 нг</t>
  </si>
  <si>
    <t>г/мл</t>
  </si>
  <si>
    <t>PMID</t>
  </si>
  <si>
    <t>Что определялось</t>
  </si>
  <si>
    <t>NGS-тест</t>
  </si>
  <si>
    <t>16S (вся кровь)</t>
  </si>
  <si>
    <t>16S (плазма)</t>
  </si>
  <si>
    <t>16S (RBC - эритроциты)</t>
  </si>
  <si>
    <t>Наименование</t>
  </si>
  <si>
    <t>1 дальтон</t>
  </si>
  <si>
    <t>да</t>
  </si>
  <si>
    <t>дальтон</t>
  </si>
  <si>
    <t xml:space="preserve">16S (BC (buffy coat) - лейкоциты и тромбоциты)  </t>
  </si>
  <si>
    <t>1 микролитр (мкл)</t>
  </si>
  <si>
    <t>нг/мкл</t>
  </si>
  <si>
    <t>средний размер 16S rRNA</t>
  </si>
  <si>
    <t xml:space="preserve">Геном Escherichia coli K-12 (Gammaproteobacteria) </t>
  </si>
  <si>
    <t>Геном человека (human DNA)</t>
  </si>
  <si>
    <t>Веса-размеры (human DNA)/(BacDNA E.coli)</t>
  </si>
  <si>
    <t>Eubacteria</t>
  </si>
  <si>
    <t>Alpha</t>
  </si>
  <si>
    <t>Beta</t>
  </si>
  <si>
    <t>Delta</t>
  </si>
  <si>
    <t>Epsilon</t>
  </si>
  <si>
    <t>Gamma</t>
  </si>
  <si>
    <t>Genomes</t>
  </si>
  <si>
    <t>16S rRNA/genome</t>
  </si>
  <si>
    <t>Genome size (Mb)</t>
  </si>
  <si>
    <t>Proteobacteria</t>
  </si>
  <si>
    <t>Average</t>
  </si>
  <si>
    <t>DESIR</t>
  </si>
  <si>
    <t>21976140 (fig.1)</t>
  </si>
  <si>
    <t>16S copies/(100 мкл BC)</t>
  </si>
  <si>
    <t>16S copies/(1 мл BC)</t>
  </si>
  <si>
    <t>&gt; 16S copies/1 мл всей крови</t>
  </si>
  <si>
    <t xml:space="preserve"> без фиброза (Испания)</t>
  </si>
  <si>
    <t>с фиброзом (Испания)</t>
  </si>
  <si>
    <t>без фиброза (Италия)</t>
  </si>
  <si>
    <t>с фиброзом (Италия)</t>
  </si>
  <si>
    <t>без диабета</t>
  </si>
  <si>
    <t>с диабетом</t>
  </si>
  <si>
    <t>Группа обследованных</t>
  </si>
  <si>
    <t>Количество обследованных</t>
  </si>
  <si>
    <t xml:space="preserve">без сердечно-сосудистых </t>
  </si>
  <si>
    <t>с сердечно-сосудистыми</t>
  </si>
  <si>
    <t>Контроль контаминации</t>
  </si>
  <si>
    <t>ЗП (доноры)</t>
  </si>
  <si>
    <t>шт/мкл</t>
  </si>
  <si>
    <t>NTC (no template control)</t>
  </si>
  <si>
    <t>шт/(200мкл)</t>
  </si>
  <si>
    <t>исходное до</t>
  </si>
  <si>
    <t>ND</t>
  </si>
  <si>
    <t>mock (3 вида), 6 видов ткани</t>
  </si>
  <si>
    <t>-</t>
  </si>
  <si>
    <t>мкл</t>
  </si>
  <si>
    <t>Sample volume (Spain)</t>
  </si>
  <si>
    <t>Sample volume (Italy)</t>
  </si>
  <si>
    <t>Total 16S in sample (Spain)</t>
  </si>
  <si>
    <t>Total 16S in sample (Italy)</t>
  </si>
  <si>
    <t>Объем образца (вся кровь)</t>
  </si>
  <si>
    <t>Объем образца (BC)</t>
  </si>
  <si>
    <t>шт/(мл ВС)</t>
  </si>
  <si>
    <t>BC от всей крови (приблизительно)</t>
  </si>
  <si>
    <t>Плазма от всей крови (приблизительно)</t>
  </si>
  <si>
    <t>шт/(мл всей крови)</t>
  </si>
  <si>
    <t>Объем образца (плазма)</t>
  </si>
  <si>
    <t>Объем образца (RBC)</t>
  </si>
  <si>
    <t>RBC от всей крови (прибл.)</t>
  </si>
  <si>
    <t>шт/(мл RBC)</t>
  </si>
  <si>
    <t>Объем NTC</t>
  </si>
  <si>
    <t>Объем образца mock</t>
  </si>
  <si>
    <t>Всего в образце mock (14*10e3)</t>
  </si>
  <si>
    <t>исходное mock (&lt;=, то близко по составу к NTC)</t>
  </si>
  <si>
    <t>Состав крови</t>
  </si>
  <si>
    <t>Плазма</t>
  </si>
  <si>
    <t>Эритроциты (RBC)</t>
  </si>
  <si>
    <t>BC (buffy coat = лейкоциты и тромбоциты)</t>
  </si>
  <si>
    <t>India</t>
  </si>
  <si>
    <t>?</t>
  </si>
  <si>
    <t>Blood 16S rRNA (Italy)</t>
  </si>
  <si>
    <t>Blood 16S rRNA (Spain)</t>
  </si>
  <si>
    <t>16S в плазме крови</t>
  </si>
  <si>
    <t>г/(мл плазмы)</t>
  </si>
  <si>
    <t>шт/(мл плазмы)</t>
  </si>
  <si>
    <t>Фагоциты крови (норма)</t>
  </si>
  <si>
    <t>hDNA фагоцитов крови</t>
  </si>
  <si>
    <t>Germany</t>
  </si>
  <si>
    <t>bacDNA и circDNA</t>
  </si>
  <si>
    <t>WMS</t>
  </si>
  <si>
    <t>circDNA и nhDNA</t>
  </si>
  <si>
    <t>картированные nhDNA</t>
  </si>
  <si>
    <t>hDNA (% ридов)</t>
  </si>
  <si>
    <t>Ридов</t>
  </si>
  <si>
    <t>Всего 16S в образце (вся кровь)</t>
  </si>
  <si>
    <t>Всего 16S в образце (ВС)</t>
  </si>
  <si>
    <t>Всего 16S в образце (плазма)</t>
  </si>
  <si>
    <t>Всего 16S в образце (RBC)</t>
  </si>
  <si>
    <t>Всего 16S в образце (NTC)</t>
  </si>
  <si>
    <t>bacDNA (плазма)</t>
  </si>
  <si>
    <t>nhDNA (остаток, в том числе bacDNA)</t>
  </si>
  <si>
    <t>Страна</t>
  </si>
  <si>
    <t>Тест для определения концентрации</t>
  </si>
  <si>
    <t>Длительное исследование</t>
  </si>
  <si>
    <t>Опорные величины находятся на листе Param3</t>
  </si>
  <si>
    <t>Год публикации</t>
  </si>
  <si>
    <t xml:space="preserve">Log 16S </t>
  </si>
  <si>
    <t>16S Eubac (лейкоциты)</t>
  </si>
  <si>
    <t>16S Proteobacteria phylum (Pbac) (лейкоциты)</t>
  </si>
  <si>
    <t>16S (mock) исходное от</t>
  </si>
  <si>
    <t>16S (mock) результат</t>
  </si>
  <si>
    <t>Qubit dsDNA HS Assay Kit</t>
  </si>
  <si>
    <t>2009-14 гг.</t>
  </si>
  <si>
    <t>Сепсис</t>
  </si>
  <si>
    <t>MolYsis Complete5</t>
  </si>
  <si>
    <t>Sweden</t>
  </si>
  <si>
    <t>Предварительная элиминация hDNA</t>
  </si>
  <si>
    <t>DNA</t>
  </si>
  <si>
    <t>cfDNA = circDNA (плазма)</t>
  </si>
  <si>
    <t>нг/(мкл плазмы)</t>
  </si>
  <si>
    <t>circDNA=cfDNA (включает hDNA)</t>
  </si>
  <si>
    <t>cfDNA (включает hDNA)</t>
  </si>
  <si>
    <t>мкл BC</t>
  </si>
  <si>
    <t>шт/(мкл BC)</t>
  </si>
  <si>
    <t>нг/(мл плазмы)</t>
  </si>
  <si>
    <t>В чем определялось</t>
  </si>
  <si>
    <t>BC</t>
  </si>
  <si>
    <t>цельная кровь</t>
  </si>
  <si>
    <t>Все фракции</t>
  </si>
  <si>
    <t>лейкоциты</t>
  </si>
  <si>
    <t>16S (в лейкоцитах)</t>
  </si>
  <si>
    <t>Total DNA (в лейкоцитах)</t>
  </si>
  <si>
    <t>нг/(мкл X)</t>
  </si>
  <si>
    <t>г/(мл X)</t>
  </si>
  <si>
    <t>шт/(мл X)</t>
  </si>
  <si>
    <t xml:space="preserve">г/(мл X) </t>
  </si>
  <si>
    <t>RuN</t>
  </si>
  <si>
    <t>Алгоритм формирования фракций N и RuN</t>
  </si>
  <si>
    <t>подфракция RuN</t>
  </si>
  <si>
    <t>Подфракция RuN</t>
  </si>
  <si>
    <t>% веса бактериальных клеток</t>
  </si>
  <si>
    <t>15%-25% веса клеток</t>
  </si>
  <si>
    <t>сухой вес клеток</t>
  </si>
  <si>
    <t>PG</t>
  </si>
  <si>
    <t>доля в WPG</t>
  </si>
  <si>
    <t>главная величина</t>
  </si>
  <si>
    <t>потенциальных</t>
  </si>
  <si>
    <t>PMID 3971375</t>
  </si>
  <si>
    <t>единица</t>
  </si>
  <si>
    <t>Примечание</t>
  </si>
  <si>
    <t>Источник</t>
  </si>
  <si>
    <t>вес бактериальных клеток</t>
  </si>
  <si>
    <t>% сухого веса</t>
  </si>
  <si>
    <t>Можно ли считать, что это только клетки. Сколько бактериальных клеток в этом биоматериале?</t>
  </si>
  <si>
    <t>CWS (cell wall suspension)</t>
  </si>
  <si>
    <t>% PG (пептидогликана) от сухого веса</t>
  </si>
  <si>
    <t>Всего клеток</t>
  </si>
  <si>
    <t>Во влажной суспензии</t>
  </si>
  <si>
    <t xml:space="preserve">1 da </t>
  </si>
  <si>
    <t>вес влажной суспензии</t>
  </si>
  <si>
    <t>*Предположение</t>
  </si>
  <si>
    <t>*</t>
  </si>
  <si>
    <t>WPG (wall PG)</t>
  </si>
  <si>
    <t>MDP (muramyl dipeptide)</t>
  </si>
  <si>
    <t>г/клетка</t>
  </si>
  <si>
    <t>шт/клетка</t>
  </si>
  <si>
    <t>MDP в одной клетке</t>
  </si>
  <si>
    <t>Молекулярный вес MDP</t>
  </si>
  <si>
    <t>Вес MDP</t>
  </si>
  <si>
    <t>Молекулярный вес B13-2</t>
  </si>
  <si>
    <t>Вес B13-2</t>
  </si>
  <si>
    <t>IPB плотность (% межпептидных мостиков в пептидогликане)</t>
  </si>
  <si>
    <t>Соотношение между количеством молекул MDP и B13-2</t>
  </si>
  <si>
    <t>вероятность не менее двух (непустых) мостиков подряд</t>
  </si>
  <si>
    <t>Определяется второй степенью плотности</t>
  </si>
  <si>
    <t>B13-2/(клетка)</t>
  </si>
  <si>
    <t>По структуре пептидогликана</t>
  </si>
  <si>
    <t>Предположение. Так ли это?</t>
  </si>
  <si>
    <t>PMID 20060721</t>
  </si>
  <si>
    <t>Доля муропептидов 33,34 и 35</t>
  </si>
  <si>
    <t>Вес 1 клетки</t>
  </si>
  <si>
    <t>E.coli (Gram+ аналогично)</t>
  </si>
  <si>
    <t>% B13-2</t>
  </si>
  <si>
    <t>от веса клетки</t>
  </si>
  <si>
    <t>от веса пептидогликана</t>
  </si>
  <si>
    <t>MW - молекулярный вес B13-2</t>
  </si>
  <si>
    <t>PMID 22192687</t>
  </si>
  <si>
    <r>
      <t>TetraTetraTri(SA)</t>
    </r>
    <r>
      <rPr>
        <vertAlign val="subscript"/>
        <sz val="10"/>
        <rFont val="Cambria"/>
        <family val="1"/>
      </rPr>
      <t>2</t>
    </r>
    <r>
      <rPr>
        <sz val="10"/>
        <rFont val="Cambria"/>
        <family val="1"/>
      </rPr>
      <t>[deAc]</t>
    </r>
    <r>
      <rPr>
        <vertAlign val="superscript"/>
        <sz val="10"/>
        <rFont val="Cambria"/>
        <family val="1"/>
      </rPr>
      <t>‡</t>
    </r>
    <r>
      <rPr>
        <sz val="10"/>
        <rFont val="Cambria"/>
        <family val="1"/>
      </rPr>
      <t xml:space="preserve"> </t>
    </r>
  </si>
  <si>
    <r>
      <t>TetraTetraTri(SA)</t>
    </r>
    <r>
      <rPr>
        <vertAlign val="subscript"/>
        <sz val="10"/>
        <rFont val="Cambria"/>
        <family val="1"/>
      </rPr>
      <t>2</t>
    </r>
    <r>
      <rPr>
        <vertAlign val="superscript"/>
        <sz val="10"/>
        <rFont val="Cambria"/>
        <family val="1"/>
      </rPr>
      <t>‡</t>
    </r>
  </si>
  <si>
    <r>
      <t>TetraTetraTri(SA)</t>
    </r>
    <r>
      <rPr>
        <vertAlign val="subscript"/>
        <sz val="10"/>
        <rFont val="Cambria"/>
        <family val="1"/>
      </rPr>
      <t>2</t>
    </r>
    <r>
      <rPr>
        <vertAlign val="superscript"/>
        <sz val="10"/>
        <rFont val="Cambria"/>
        <family val="1"/>
      </rPr>
      <t>‡</t>
    </r>
    <r>
      <rPr>
        <sz val="10"/>
        <rFont val="Cambria"/>
        <family val="1"/>
      </rPr>
      <t>[deAc]</t>
    </r>
    <r>
      <rPr>
        <vertAlign val="superscript"/>
        <sz val="10"/>
        <rFont val="Cambria"/>
        <family val="1"/>
      </rPr>
      <t>‡</t>
    </r>
  </si>
  <si>
    <r>
      <t>TetraTetraTri(SA)</t>
    </r>
    <r>
      <rPr>
        <vertAlign val="subscript"/>
        <sz val="10"/>
        <rFont val="Cambria"/>
        <family val="1"/>
      </rPr>
      <t>2</t>
    </r>
    <r>
      <rPr>
        <vertAlign val="superscript"/>
        <sz val="10"/>
        <rFont val="Cambria"/>
        <family val="1"/>
      </rPr>
      <t>‡</t>
    </r>
    <r>
      <rPr>
        <sz val="10"/>
        <rFont val="Cambria"/>
        <family val="1"/>
      </rPr>
      <t>[deAc]</t>
    </r>
    <r>
      <rPr>
        <vertAlign val="superscript"/>
        <sz val="10"/>
        <rFont val="Cambria"/>
        <family val="1"/>
      </rPr>
      <t xml:space="preserve">‡ </t>
    </r>
    <r>
      <rPr>
        <sz val="10"/>
        <rFont val="Cambria"/>
        <family val="1"/>
      </rPr>
      <t>(-G)</t>
    </r>
    <r>
      <rPr>
        <vertAlign val="subscript"/>
        <sz val="10"/>
        <rFont val="Cambria"/>
        <family val="1"/>
      </rPr>
      <t>2</t>
    </r>
  </si>
  <si>
    <r>
      <t>TetraTetraTri(SA)</t>
    </r>
    <r>
      <rPr>
        <vertAlign val="subscript"/>
        <sz val="10"/>
        <rFont val="Cambria"/>
        <family val="1"/>
      </rPr>
      <t>2</t>
    </r>
    <r>
      <rPr>
        <vertAlign val="superscript"/>
        <sz val="10"/>
        <rFont val="Cambria"/>
        <family val="1"/>
      </rPr>
      <t>‡</t>
    </r>
    <r>
      <rPr>
        <sz val="10"/>
        <rFont val="Cambria"/>
        <family val="1"/>
      </rPr>
      <t>[deAc]</t>
    </r>
    <r>
      <rPr>
        <vertAlign val="superscript"/>
        <sz val="10"/>
        <rFont val="Cambria"/>
        <family val="1"/>
      </rPr>
      <t xml:space="preserve">‡ </t>
    </r>
    <r>
      <rPr>
        <sz val="10"/>
        <rFont val="Cambria"/>
        <family val="1"/>
      </rPr>
      <t>(-G)</t>
    </r>
  </si>
  <si>
    <t>Итого/В среднем</t>
  </si>
  <si>
    <t>MW (средний) этих муропептидов</t>
  </si>
  <si>
    <t>Муропептиды 33,34 и 35 (те из них, которые могут быть предшественниками B15-4)</t>
  </si>
  <si>
    <t>B13-2</t>
  </si>
  <si>
    <t>не используется</t>
  </si>
  <si>
    <t>Y-B11</t>
  </si>
  <si>
    <t>Молекулярный вес Y-B11</t>
  </si>
  <si>
    <t>Вес Y-B11</t>
  </si>
  <si>
    <t>вероятность не менее трех (непустых) мостиков подряд</t>
  </si>
  <si>
    <t>Определяется третьей степенью плотности</t>
  </si>
  <si>
    <t>Соотношение между количеством молекул MDP и Y-B11</t>
  </si>
  <si>
    <t>Y-B11/(клетка)</t>
  </si>
  <si>
    <t>Вторая оценка для B13-2 (для Str.pneumonia штамм R6)</t>
  </si>
  <si>
    <t>Вторая оценка для Y-B11 (для Str.pneumonia штамм R6)</t>
  </si>
  <si>
    <t>PMID 8550412</t>
  </si>
  <si>
    <t>VIII</t>
  </si>
  <si>
    <t>IX</t>
  </si>
  <si>
    <t>Пептиды VII,VIII и IX (могут быть предшественниками для Y-B11)</t>
  </si>
  <si>
    <t>VII</t>
  </si>
  <si>
    <t>MW</t>
  </si>
  <si>
    <t>Доля пептидов VII, VIII, IX</t>
  </si>
  <si>
    <t>MW - молекулярный вес Y-B11</t>
  </si>
  <si>
    <t>от веса всех пептидов</t>
  </si>
  <si>
    <t>% Y-B11</t>
  </si>
  <si>
    <t>Муропептиды 36 и 37</t>
  </si>
  <si>
    <r>
      <t>TetraTetraTri(SA)</t>
    </r>
    <r>
      <rPr>
        <vertAlign val="subscript"/>
        <sz val="10"/>
        <rFont val="Cambria"/>
        <family val="1"/>
      </rPr>
      <t>3</t>
    </r>
  </si>
  <si>
    <r>
      <t>TetraTetraTri(SA)</t>
    </r>
    <r>
      <rPr>
        <vertAlign val="subscript"/>
        <sz val="10"/>
        <rFont val="Cambria"/>
        <family val="1"/>
      </rPr>
      <t xml:space="preserve">3 </t>
    </r>
    <r>
      <rPr>
        <sz val="10"/>
        <rFont val="Cambria"/>
        <family val="1"/>
      </rPr>
      <t>(-G)</t>
    </r>
  </si>
  <si>
    <r>
      <t>TetraTetraTri(SA)</t>
    </r>
    <r>
      <rPr>
        <vertAlign val="subscript"/>
        <sz val="10"/>
        <rFont val="Cambria"/>
        <family val="1"/>
      </rPr>
      <t>3</t>
    </r>
    <r>
      <rPr>
        <sz val="10"/>
        <rFont val="Cambria"/>
        <family val="1"/>
      </rPr>
      <t>(-G)</t>
    </r>
    <r>
      <rPr>
        <vertAlign val="subscript"/>
        <sz val="10"/>
        <rFont val="Cambria"/>
        <family val="1"/>
      </rPr>
      <t>3</t>
    </r>
  </si>
  <si>
    <r>
      <t>TetraTetraTri(AA)</t>
    </r>
    <r>
      <rPr>
        <vertAlign val="superscript"/>
        <sz val="10"/>
        <rFont val="Cambria"/>
        <family val="1"/>
      </rPr>
      <t>‡</t>
    </r>
    <r>
      <rPr>
        <sz val="10"/>
        <rFont val="Cambria"/>
        <family val="1"/>
      </rPr>
      <t>(SA)</t>
    </r>
    <r>
      <rPr>
        <vertAlign val="subscript"/>
        <sz val="10"/>
        <rFont val="Cambria"/>
        <family val="1"/>
      </rPr>
      <t>2</t>
    </r>
    <r>
      <rPr>
        <vertAlign val="superscript"/>
        <sz val="10"/>
        <rFont val="Cambria"/>
        <family val="1"/>
      </rPr>
      <t>‡</t>
    </r>
    <r>
      <rPr>
        <sz val="10"/>
        <rFont val="Cambria"/>
        <family val="1"/>
      </rPr>
      <t>(-G)</t>
    </r>
    <r>
      <rPr>
        <vertAlign val="subscript"/>
        <sz val="10"/>
        <rFont val="Cambria"/>
        <family val="1"/>
      </rPr>
      <t>2</t>
    </r>
  </si>
  <si>
    <r>
      <t>TetraTetraTri(AA)</t>
    </r>
    <r>
      <rPr>
        <vertAlign val="superscript"/>
        <sz val="10"/>
        <rFont val="Cambria"/>
        <family val="1"/>
      </rPr>
      <t>‡</t>
    </r>
    <r>
      <rPr>
        <sz val="10"/>
        <rFont val="Cambria"/>
        <family val="1"/>
      </rPr>
      <t>(SA)</t>
    </r>
    <r>
      <rPr>
        <vertAlign val="subscript"/>
        <sz val="10"/>
        <rFont val="Cambria"/>
        <family val="1"/>
      </rPr>
      <t>2</t>
    </r>
    <r>
      <rPr>
        <vertAlign val="superscript"/>
        <sz val="10"/>
        <rFont val="Cambria"/>
        <family val="1"/>
      </rPr>
      <t>‡</t>
    </r>
  </si>
  <si>
    <r>
      <t>TetraTetraTri(AA)</t>
    </r>
    <r>
      <rPr>
        <vertAlign val="superscript"/>
        <sz val="10"/>
        <rFont val="Cambria"/>
        <family val="1"/>
      </rPr>
      <t>‡</t>
    </r>
    <r>
      <rPr>
        <sz val="10"/>
        <rFont val="Cambria"/>
        <family val="1"/>
      </rPr>
      <t>(SA)</t>
    </r>
    <r>
      <rPr>
        <vertAlign val="subscript"/>
        <sz val="10"/>
        <rFont val="Cambria"/>
        <family val="1"/>
      </rPr>
      <t>2</t>
    </r>
    <r>
      <rPr>
        <vertAlign val="superscript"/>
        <sz val="10"/>
        <rFont val="Cambria"/>
        <family val="1"/>
      </rPr>
      <t>‡</t>
    </r>
    <r>
      <rPr>
        <sz val="10"/>
        <rFont val="Cambria"/>
        <family val="1"/>
      </rPr>
      <t xml:space="preserve">(-G) </t>
    </r>
  </si>
  <si>
    <t>Доля муропептидов 36 и 37</t>
  </si>
  <si>
    <t>Третья оценка для Y-B11 (для Str.pneumonia штамм Hungary, serotype 19A) (незавершенная)</t>
  </si>
  <si>
    <t>в норме по данным PMID 23385576 и 22065152</t>
  </si>
  <si>
    <t>Метод</t>
  </si>
  <si>
    <t>Биоматериал</t>
  </si>
  <si>
    <t>hDNA</t>
  </si>
  <si>
    <t>nhDNA</t>
  </si>
  <si>
    <t>NebNext</t>
  </si>
  <si>
    <t>Год</t>
  </si>
  <si>
    <t>10.1101/162735</t>
  </si>
  <si>
    <t>До</t>
  </si>
  <si>
    <t>После</t>
  </si>
  <si>
    <t>PMID/DOI</t>
  </si>
  <si>
    <t xml:space="preserve">Mock 1:10 (DNA E. coli and hDNA) </t>
  </si>
  <si>
    <t xml:space="preserve">Mock 1:20 (DNA E. coli and hDNA) </t>
  </si>
  <si>
    <t xml:space="preserve">Mock 1:40 (DNA E. coli and hDNA) </t>
  </si>
  <si>
    <t>Стерильная суставная жидкость 500мкл+ 10e7 КОЕ Staph.aureus</t>
  </si>
  <si>
    <t>RT PCR</t>
  </si>
  <si>
    <t>Cуставная жидкость, моноинфекция (S.aureus)</t>
  </si>
  <si>
    <t>Cуставная жидкость, моноинфекция (Str.epidermidis)</t>
  </si>
  <si>
    <t>Cуставная жидкость, моноинфекция (E.faecalis)</t>
  </si>
  <si>
    <t>Способ</t>
  </si>
  <si>
    <t>оценки</t>
  </si>
  <si>
    <t>Цельная кровь + 2,58*10e7 Y.pestis</t>
  </si>
  <si>
    <t>MiniION, WMS</t>
  </si>
  <si>
    <t>В среднем</t>
  </si>
  <si>
    <t>Образец 1 (bacDNA)</t>
  </si>
  <si>
    <t>Образец 2 (bacDNA)</t>
  </si>
  <si>
    <t>Образец 3 (bacDNA)</t>
  </si>
  <si>
    <t>Образец 4 (bacDNA)</t>
  </si>
  <si>
    <t>Looxster (PureProve)</t>
  </si>
  <si>
    <t>Слюна</t>
  </si>
  <si>
    <t>Fig.3. Для 1:20 подкорректировано так, что сумма двух столбцов была 100% (вероятно при верстке произошла деформация рисунка). Для 1:10 и 1:40 после обогащения взято из текста.</t>
  </si>
  <si>
    <t xml:space="preserve">174–346 million </t>
  </si>
  <si>
    <t xml:space="preserve">501–537 million </t>
  </si>
  <si>
    <t>Слюна реплика R1</t>
  </si>
  <si>
    <t>Слюна реплика R2</t>
  </si>
  <si>
    <t>Слюна R2 (повтор из 24204593)</t>
  </si>
  <si>
    <t>Н.откл.</t>
  </si>
  <si>
    <t>&gt;0,5%</t>
  </si>
  <si>
    <t>Подслизистая часть тонкокишечного биоптата (4 образца), полученного во время операции. В среднем hDNA/мкл.</t>
  </si>
  <si>
    <t>эффект</t>
  </si>
  <si>
    <t>Присутствие hDNA оценено с помощью Quantifiler® Human DNA Quantification Kit в шт/мкл (см. рис.1). Это не риды!
Сильное нарушение пропорций среди bacDNA (Образец 4, рис.3).
Данные из статьи и из Supplement. Файл 1-s2.0-S0167701215301044-mmc1+.xls</t>
  </si>
  <si>
    <t xml:space="preserve">Рис.6 (Реплика R2)- соблюдение пропорций между видами после обогащения (за исключением нескольких видов). Тable S1 (точные относительные значения). Реплика R1 гораздо худшее соблюдение пропорций, чем для R2.
94–96% of reads aligning to the human reference genome in the unenriched experiment were depleted after enrichment, corresponding to an 8-fold increase in reads mapping to the HOMD database. </t>
  </si>
  <si>
    <t>hDNA в крови от</t>
  </si>
  <si>
    <t xml:space="preserve">                      до</t>
  </si>
  <si>
    <t>link</t>
  </si>
  <si>
    <t>hDNA внеклеточная в среднем</t>
  </si>
  <si>
    <t xml:space="preserve">            до (после физ.нагрузок)</t>
  </si>
  <si>
    <t>hDNA в крови в среднем</t>
  </si>
  <si>
    <t>pg</t>
  </si>
  <si>
    <t>bp</t>
  </si>
  <si>
    <t>g</t>
  </si>
  <si>
    <t>da</t>
  </si>
  <si>
    <t>1 пг</t>
  </si>
  <si>
    <t>вес пары оснований (bp)</t>
  </si>
  <si>
    <t>пар оснований (bp)</t>
  </si>
  <si>
    <t>A human cell contains about 6 pg of DNA.</t>
  </si>
  <si>
    <t>Type</t>
  </si>
  <si>
    <t>Name</t>
  </si>
  <si>
    <t>RefSeq</t>
  </si>
  <si>
    <t>INSDC</t>
  </si>
  <si>
    <t>Size (Mb)</t>
  </si>
  <si>
    <t>GC%</t>
  </si>
  <si>
    <t>Protein</t>
  </si>
  <si>
    <t>rRNA</t>
  </si>
  <si>
    <t>tRNA</t>
  </si>
  <si>
    <t>Other RNA</t>
  </si>
  <si>
    <t>Gene</t>
  </si>
  <si>
    <t>Pseudogene</t>
  </si>
  <si>
    <t>Chr</t>
  </si>
  <si>
    <t>NC_000001.11</t>
  </si>
  <si>
    <t>CM000663.2</t>
  </si>
  <si>
    <t>42.3</t>
  </si>
  <si>
    <t>NC_000002.12</t>
  </si>
  <si>
    <t>CM000664.2</t>
  </si>
  <si>
    <t>40.3</t>
  </si>
  <si>
    <t>NC_000003.12</t>
  </si>
  <si>
    <t>CM000665.2</t>
  </si>
  <si>
    <t>39.7</t>
  </si>
  <si>
    <t>NC_000004.12</t>
  </si>
  <si>
    <t>CM000666.2</t>
  </si>
  <si>
    <t>38.3</t>
  </si>
  <si>
    <t>NC_000005.10</t>
  </si>
  <si>
    <t>CM000667.2</t>
  </si>
  <si>
    <t>39.5</t>
  </si>
  <si>
    <t>NC_000006.12</t>
  </si>
  <si>
    <t>CM000668.2</t>
  </si>
  <si>
    <t>39.6</t>
  </si>
  <si>
    <t>NC_000007.14</t>
  </si>
  <si>
    <t>CM000669.2</t>
  </si>
  <si>
    <t>40.7</t>
  </si>
  <si>
    <t>NC_000008.11</t>
  </si>
  <si>
    <t>CM000670.2</t>
  </si>
  <si>
    <t>40.2</t>
  </si>
  <si>
    <t>NC_000009.12</t>
  </si>
  <si>
    <t>CM000671.2</t>
  </si>
  <si>
    <t>NC_000010.11</t>
  </si>
  <si>
    <t>CM000672.2</t>
  </si>
  <si>
    <t>41.6</t>
  </si>
  <si>
    <t>NC_000011.10</t>
  </si>
  <si>
    <t>CM000673.2</t>
  </si>
  <si>
    <t>NC_000012.12</t>
  </si>
  <si>
    <t>CM000674.2</t>
  </si>
  <si>
    <t>40.8</t>
  </si>
  <si>
    <t>NC_000013.11</t>
  </si>
  <si>
    <t>CM000675.2</t>
  </si>
  <si>
    <t>NC_000014.9</t>
  </si>
  <si>
    <t>CM000676.2</t>
  </si>
  <si>
    <t>42.2</t>
  </si>
  <si>
    <t>NC_000015.10</t>
  </si>
  <si>
    <t>CM000677.2</t>
  </si>
  <si>
    <t>43.4</t>
  </si>
  <si>
    <t>NC_000016.10</t>
  </si>
  <si>
    <t>CM000678.2</t>
  </si>
  <si>
    <t>45.1</t>
  </si>
  <si>
    <t>NC_000017.11</t>
  </si>
  <si>
    <t>CM000679.2</t>
  </si>
  <si>
    <t>45.3</t>
  </si>
  <si>
    <t>NC_000018.10</t>
  </si>
  <si>
    <t>CM000680.2</t>
  </si>
  <si>
    <t>39.8</t>
  </si>
  <si>
    <t>NC_000019.10</t>
  </si>
  <si>
    <t>CM000681.2</t>
  </si>
  <si>
    <t>47.9</t>
  </si>
  <si>
    <t>NC_000020.11</t>
  </si>
  <si>
    <t>CM000682.2</t>
  </si>
  <si>
    <t>43.9</t>
  </si>
  <si>
    <t>NC_000021.9</t>
  </si>
  <si>
    <t>CM000683.2</t>
  </si>
  <si>
    <t>NC_000022.11</t>
  </si>
  <si>
    <t>CM000684.2</t>
  </si>
  <si>
    <t>47.7</t>
  </si>
  <si>
    <t>X</t>
  </si>
  <si>
    <t>NC_000023.11</t>
  </si>
  <si>
    <t>CM000685.2</t>
  </si>
  <si>
    <t>NC_000024.10</t>
  </si>
  <si>
    <t>CM000686.2</t>
  </si>
  <si>
    <t>45.4</t>
  </si>
  <si>
    <t>MT</t>
  </si>
  <si>
    <t>NC_012920.1</t>
  </si>
  <si>
    <t>J01415.2</t>
  </si>
  <si>
    <t>44.4</t>
  </si>
  <si>
    <t>Un</t>
  </si>
  <si>
    <t>.</t>
  </si>
  <si>
    <t>Women</t>
  </si>
  <si>
    <t>Men</t>
  </si>
  <si>
    <t>(22+X)*2</t>
  </si>
  <si>
    <t xml:space="preserve"> 22*2 +XY</t>
  </si>
  <si>
    <t>Без МТ</t>
  </si>
  <si>
    <t>В соматической клетке (*2)</t>
  </si>
  <si>
    <t>Митохондриальная ДНК</t>
  </si>
  <si>
    <t>Среднее количество митохондрий в соматической клетке</t>
  </si>
  <si>
    <t>Полезные линки</t>
  </si>
  <si>
    <t xml:space="preserve">оно же </t>
  </si>
  <si>
    <t>Итого в клетке hDNA + mtDNA</t>
  </si>
  <si>
    <t>hDNA в одной соматической клетке</t>
  </si>
  <si>
    <t>г/шт</t>
  </si>
  <si>
    <t>см. лист Param3</t>
  </si>
  <si>
    <t>Можно ли заново картировать? Не на HOMD, а на другую БД, максимально подробную.</t>
  </si>
  <si>
    <t>% - по диаграмме рис.5.  
Table S2. Очень странные результаты - никаких пропорций не соблюдено. Как будто до и после - это разные образцы. Возможно из-за того, что очень бедные на nhDNA образцы (в частности из HOMD)?</t>
  </si>
  <si>
    <t>Риды (сумма длин)</t>
  </si>
  <si>
    <t>hDNA в пробе APB</t>
  </si>
  <si>
    <t>bacDNA (в E.coli)</t>
  </si>
  <si>
    <t>bacDNA (в E.coli) в пробе APB</t>
  </si>
  <si>
    <t>nhDNA в пробе APB (E.coli)</t>
  </si>
  <si>
    <t>Фагоциты крови (ПБ)</t>
  </si>
  <si>
    <t>в фагоцитах крови (по весу)</t>
  </si>
  <si>
    <t>Сумма  в целом</t>
  </si>
  <si>
    <t>hDNA в выборке APS</t>
  </si>
  <si>
    <t>nhDNA (E.coli) в выборке APS</t>
  </si>
  <si>
    <t>в фагоцитах кожи (по весу)</t>
  </si>
  <si>
    <t>Принято удвоенному содержанию в фагоцитах крови (но наверное будет выше). Больше, чем bacDNA.</t>
  </si>
  <si>
    <t>нг</t>
  </si>
  <si>
    <t>г =</t>
  </si>
  <si>
    <t>нг (нанограмм)</t>
  </si>
  <si>
    <t xml:space="preserve">% nhDNA (в E.coli) </t>
  </si>
  <si>
    <t>NocartDNA</t>
  </si>
  <si>
    <t>mtDNA</t>
  </si>
  <si>
    <t>hDNA (в т.ч. mtDNA)</t>
  </si>
  <si>
    <t>hDNA  (?)</t>
  </si>
  <si>
    <t>По таблице S1. Судя по тексту анализ был выполнен для одного Mock-образцов c E.coli.</t>
  </si>
  <si>
    <t>Риды</t>
  </si>
  <si>
    <t xml:space="preserve">Риды </t>
  </si>
  <si>
    <t xml:space="preserve">текст и рис.1.  </t>
  </si>
  <si>
    <t>Табл.1.  
В статье нет информации о том, какой % картировался на hDNA (до и после обогащения). Поэтому он принят равным 50% - до и 5% - после. Остальное будем считать некартированным.</t>
  </si>
  <si>
    <t>% для bacDNA по диаграмме Рис.5, а для hDNA - по тексту. nhDNA - только bacDNA из HOMD (остальное попадает в некартированное). В среднем 8-кратное обогащение. Файл Table_S1+.xls</t>
  </si>
  <si>
    <t>Лейкоцитов в пробе APB</t>
  </si>
  <si>
    <t>картированные nhDNA (% от того, что некартировалось на hDNA - данные под вопросом)</t>
  </si>
  <si>
    <t>картированные nhDNA риды</t>
  </si>
  <si>
    <t>Пациенты без сепсиса (пост хирургические)</t>
  </si>
  <si>
    <t xml:space="preserve">cfDNA в крови </t>
  </si>
  <si>
    <t xml:space="preserve">cfDNA в крови при сепсисе </t>
  </si>
  <si>
    <t>cfDNA в крови постхирургия</t>
  </si>
  <si>
    <t>PMID 27368373 (см. лист nhDNA in blood) - на 2-3 порядка ниже, чем в лейкоцитах.</t>
  </si>
  <si>
    <t xml:space="preserve">% bacDNA (в E.coli) </t>
  </si>
  <si>
    <t xml:space="preserve">bacDNA в В (в цельной крови) </t>
  </si>
  <si>
    <t>в цельной крови (по весу)</t>
  </si>
  <si>
    <t>Подробный протокол, картирование и сравнение только по БД HOMD. Т.е. только bacDNA и только оральная микрофлора. % по рис. Figure 7.26.3 (и только по картируемым ридам)</t>
  </si>
  <si>
    <t>Цельная кровь (наверное натощак)</t>
  </si>
  <si>
    <t>маловато (?)</t>
  </si>
  <si>
    <t>Лейкоциты в крови (норма)</t>
  </si>
  <si>
    <t>% фагоцитов от лейкоцитов</t>
  </si>
  <si>
    <t xml:space="preserve">16s rRNA bacDNA в В (в цельной крови) </t>
  </si>
  <si>
    <t>Среднее число 16s rRNA в одной DNA (E.coli)</t>
  </si>
  <si>
    <t>Лейкоциты в крови (ПБ)</t>
  </si>
  <si>
    <t>После еды (постпрандальная кровь)</t>
  </si>
  <si>
    <t>на 7% выше нормы в  среднем (PMID 24147939)</t>
  </si>
  <si>
    <t>на 25% выше нормы в среднем (PMID 24147939)</t>
  </si>
  <si>
    <t>Для ПП взято больше, чем у ЗП. 
Для nhDNA взято больше (чем для bacDNA).</t>
  </si>
  <si>
    <t>10 мл - максимум для стандартных наборов для выделения DNA из цельной крови.</t>
  </si>
  <si>
    <t>99% от nhDNA по (PMID 27368373)</t>
  </si>
  <si>
    <t>он же</t>
  </si>
  <si>
    <t>средний вес 16S rRNA (одинарной)</t>
  </si>
  <si>
    <t xml:space="preserve">Вес ее dsDNA </t>
  </si>
  <si>
    <t>цельная</t>
  </si>
  <si>
    <t>100+100</t>
  </si>
  <si>
    <t>без сердечно-сосудистых/c сердечно-сосудистыми</t>
  </si>
  <si>
    <t>нет информ.</t>
  </si>
  <si>
    <t>Donor</t>
  </si>
  <si>
    <t>% Bacteria</t>
  </si>
  <si>
    <t>% Human</t>
  </si>
  <si>
    <t xml:space="preserve">Median </t>
  </si>
  <si>
    <t>http://www.dnagenotek.com/US/pdf/PD-WP-011.pdf</t>
  </si>
  <si>
    <t>Нормировано</t>
  </si>
  <si>
    <t>% от суммарного DNA</t>
  </si>
  <si>
    <t>BacDNA</t>
  </si>
  <si>
    <t>nocard</t>
  </si>
  <si>
    <t>Buffy coat</t>
  </si>
  <si>
    <t>Buffy coat from 8 mL of venous blood of 50 donors</t>
  </si>
  <si>
    <t xml:space="preserve"> The DNA was then diluted in TE to 7,5 ng/µL </t>
  </si>
  <si>
    <t>Выполнялись три независимых теста: Определение концентрации всей DNA, hDNA и bacDNA.</t>
  </si>
  <si>
    <t>Whole blood</t>
  </si>
  <si>
    <t>All-cell-pellet</t>
  </si>
  <si>
    <r>
      <t>Fresh Blood From Fresh and Frozen Samples (</t>
    </r>
    <r>
      <rPr>
        <i/>
        <sz val="10"/>
        <rFont val="Arial Cyr"/>
        <family val="0"/>
      </rPr>
      <t>n</t>
    </r>
    <r>
      <rPr>
        <sz val="10"/>
        <rFont val="Arial Cyr"/>
        <family val="0"/>
      </rPr>
      <t xml:space="preserve"> = 10)</t>
    </r>
  </si>
  <si>
    <r>
      <t>All Fresh Blood (</t>
    </r>
    <r>
      <rPr>
        <i/>
        <sz val="10"/>
        <rFont val="Arial Cyr"/>
        <family val="0"/>
      </rPr>
      <t>n</t>
    </r>
    <r>
      <rPr>
        <sz val="10"/>
        <rFont val="Arial Cyr"/>
        <family val="0"/>
      </rPr>
      <t xml:space="preserve"> = 20)</t>
    </r>
  </si>
  <si>
    <r>
      <t>c</t>
    </r>
    <r>
      <rPr>
        <sz val="10"/>
        <rFont val="Arial Cyr"/>
        <family val="0"/>
      </rPr>
      <t xml:space="preserve"> Numbers in parentheses, standard error.</t>
    </r>
  </si>
  <si>
    <t>Table 1. Mean Double-Stranded DNA Yields (μg) Equivalent to Those Obtained From 5-mL Whole-Blood Samples (part of)</t>
  </si>
  <si>
    <t>WB</t>
  </si>
  <si>
    <t>ACP</t>
  </si>
  <si>
    <t>RBC</t>
  </si>
  <si>
    <t>Residual blood cells (WBC+RBC+platelets)</t>
  </si>
  <si>
    <t>WBC</t>
  </si>
  <si>
    <t>from 1 ml</t>
  </si>
  <si>
    <t>84,2 (11,5)</t>
  </si>
  <si>
    <t>87,0 (6,85)</t>
  </si>
  <si>
    <t>89,3 (8,86)</t>
  </si>
  <si>
    <t>96,8 (12,4)</t>
  </si>
  <si>
    <t>86,4 (7,01)</t>
  </si>
  <si>
    <t>71,9 (8,24)</t>
  </si>
  <si>
    <t>37,5 (5,34)</t>
  </si>
  <si>
    <t>38,9 (3,19)</t>
  </si>
  <si>
    <t>38,0 (7,91)</t>
  </si>
  <si>
    <t>40,1 (5,41)</t>
  </si>
  <si>
    <t>33,9 (3,42)</t>
  </si>
  <si>
    <t>34,6 (5,72)</t>
  </si>
  <si>
    <t xml:space="preserve"> from 5 ml</t>
  </si>
  <si>
    <t>Figure 2</t>
  </si>
  <si>
    <t>Через Visio</t>
  </si>
  <si>
    <r>
      <t>Frozen Blood 
(</t>
    </r>
    <r>
      <rPr>
        <i/>
        <sz val="10"/>
        <rFont val="Arial Cyr"/>
        <family val="0"/>
      </rPr>
      <t>n</t>
    </r>
    <r>
      <rPr>
        <sz val="10"/>
        <rFont val="Arial Cyr"/>
        <family val="0"/>
      </rPr>
      <t xml:space="preserve"> = 10)</t>
    </r>
  </si>
  <si>
    <r>
      <t>Fresh Blood Only 
(</t>
    </r>
    <r>
      <rPr>
        <i/>
        <sz val="10"/>
        <rFont val="Arial Cyr"/>
        <family val="0"/>
      </rPr>
      <t>n</t>
    </r>
    <r>
      <rPr>
        <sz val="10"/>
        <rFont val="Arial Cyr"/>
        <family val="0"/>
      </rPr>
      <t xml:space="preserve"> = 10)</t>
    </r>
  </si>
  <si>
    <t>% from Whole blood</t>
  </si>
  <si>
    <t>Результаты получены в 2010</t>
  </si>
  <si>
    <t>+- standard error'</t>
  </si>
  <si>
    <t>% from whole blood</t>
  </si>
  <si>
    <t>Genotek</t>
  </si>
  <si>
    <t>USA</t>
  </si>
  <si>
    <t>доноры</t>
  </si>
  <si>
    <t>нет инфо</t>
  </si>
  <si>
    <t>г/(мл всей крови)</t>
  </si>
  <si>
    <t>bacDNA (вся кровь) (в пересчете на E.coli)</t>
  </si>
  <si>
    <t>она же (в пересчете на E.coli)</t>
  </si>
  <si>
    <t>мкг/мл</t>
  </si>
  <si>
    <t>мкг/(мл цельной крови)</t>
  </si>
  <si>
    <t>в ней bacDNA (исходя из 0,06%)</t>
  </si>
  <si>
    <t xml:space="preserve">DNA из ВС (см. закладку DNA-yield) </t>
  </si>
  <si>
    <t xml:space="preserve">DNA из WB (см. закладку DNA-yield) </t>
  </si>
  <si>
    <t>Новые</t>
  </si>
  <si>
    <t xml:space="preserve">Из цельной крови столько извлечь нельзя, а если это мкл BC (1%) - то 1,2 мкг/мл - это слишком мало... </t>
  </si>
  <si>
    <t>PMID 26865079. 16S-тест. Картируемая bacDNA (пересчет к bacDNA). 
Данные по среднему числу 16S (PMID 23460914   - 5,8, а в PMID 27239228 - 7. Взято 7).</t>
  </si>
  <si>
    <t>Количество 16S в Escherichia coli (в среднем 7 на геном)</t>
  </si>
  <si>
    <t>Набор NucleoSpin Blood L (до 30 мкг/мл). 
Для овец 22500 в среднем (PMID 25635817).</t>
  </si>
  <si>
    <t xml:space="preserve">шт </t>
  </si>
  <si>
    <t>геномов E.coli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</si>
</sst>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E+00"/>
    <numFmt numFmtId="182" formatCode="0.0E+00"/>
    <numFmt numFmtId="183" formatCode="0.0"/>
    <numFmt numFmtId="184" formatCode="0.0%"/>
    <numFmt numFmtId="185" formatCode="0.00000%"/>
  </numFmts>
  <fonts count="40">
    <font>
      <sz val="10"/>
      <name val="Arial Cyr"/>
      <family val="0"/>
    </font>
    <font>
      <sz val="8"/>
      <name val="Arial Cyr"/>
      <family val="0"/>
    </font>
    <font>
      <b/>
      <sz val="10"/>
      <name val="Arial Cyr"/>
      <family val="0"/>
    </font>
    <font>
      <sz val="8"/>
      <name val="Tahoma"/>
      <family val="0"/>
    </font>
    <font>
      <sz val="12"/>
      <name val="Arial Cyr"/>
      <family val="0"/>
    </font>
    <font>
      <b/>
      <sz val="8"/>
      <name val="Arial Cyr"/>
      <family val="0"/>
    </font>
    <font>
      <u val="single"/>
      <sz val="10"/>
      <color indexed="12"/>
      <name val="Arial Cyr"/>
      <family val="0"/>
    </font>
    <font>
      <u val="single"/>
      <sz val="10"/>
      <color indexed="36"/>
      <name val="Arial Cyr"/>
      <family val="0"/>
    </font>
    <font>
      <sz val="9"/>
      <name val="Arial Cyr"/>
      <family val="0"/>
    </font>
    <font>
      <b/>
      <sz val="9"/>
      <name val="Arial Cyr"/>
      <family val="0"/>
    </font>
    <font>
      <sz val="9"/>
      <color indexed="10"/>
      <name val="Arial Cyr"/>
      <family val="0"/>
    </font>
    <font>
      <sz val="8"/>
      <name val="Arial"/>
      <family val="0"/>
    </font>
    <font>
      <b/>
      <sz val="8"/>
      <name val="Arial"/>
      <family val="2"/>
    </font>
    <font>
      <sz val="7"/>
      <color indexed="8"/>
      <name val="AdvP41461E"/>
      <family val="0"/>
    </font>
    <font>
      <b/>
      <sz val="8"/>
      <name val="Tahoma"/>
      <family val="0"/>
    </font>
    <font>
      <sz val="8"/>
      <color indexed="10"/>
      <name val="Arial"/>
      <family val="0"/>
    </font>
    <font>
      <sz val="8"/>
      <color indexed="10"/>
      <name val="Arial Cyr"/>
      <family val="0"/>
    </font>
    <font>
      <sz val="10"/>
      <color indexed="10"/>
      <name val="Arial Cyr"/>
      <family val="0"/>
    </font>
    <font>
      <sz val="8"/>
      <color indexed="63"/>
      <name val="AdvP7028"/>
      <family val="0"/>
    </font>
    <font>
      <sz val="8"/>
      <color indexed="63"/>
      <name val="AdvP65D9"/>
      <family val="0"/>
    </font>
    <font>
      <sz val="8"/>
      <color indexed="10"/>
      <name val="AdvP65D9"/>
      <family val="0"/>
    </font>
    <font>
      <u val="single"/>
      <sz val="8"/>
      <color indexed="12"/>
      <name val="Arial Cyr"/>
      <family val="0"/>
    </font>
    <font>
      <sz val="8"/>
      <color indexed="8"/>
      <name val="XfyshwAdvTTb5929f4c"/>
      <family val="0"/>
    </font>
    <font>
      <sz val="6"/>
      <name val="Arial Cyr"/>
      <family val="0"/>
    </font>
    <font>
      <sz val="6"/>
      <name val="Arial"/>
      <family val="0"/>
    </font>
    <font>
      <sz val="8"/>
      <name val="AdvP7028"/>
      <family val="0"/>
    </font>
    <font>
      <b/>
      <sz val="6"/>
      <name val="Arial Cyr"/>
      <family val="0"/>
    </font>
    <font>
      <b/>
      <sz val="6"/>
      <name val="Arial"/>
      <family val="0"/>
    </font>
    <font>
      <u val="single"/>
      <sz val="6"/>
      <color indexed="12"/>
      <name val="Arial Cyr"/>
      <family val="0"/>
    </font>
    <font>
      <sz val="10"/>
      <name val="Cambria"/>
      <family val="1"/>
    </font>
    <font>
      <vertAlign val="subscript"/>
      <sz val="10"/>
      <name val="Cambria"/>
      <family val="1"/>
    </font>
    <font>
      <vertAlign val="superscript"/>
      <sz val="10"/>
      <name val="Cambria"/>
      <family val="1"/>
    </font>
    <font>
      <b/>
      <sz val="8"/>
      <color indexed="10"/>
      <name val="Arial Cyr"/>
      <family val="0"/>
    </font>
    <font>
      <sz val="10"/>
      <name val="Arial Unicode MS"/>
      <family val="2"/>
    </font>
    <font>
      <sz val="9"/>
      <color indexed="63"/>
      <name val="AgilentCond-Regular"/>
      <family val="0"/>
    </font>
    <font>
      <vertAlign val="superscript"/>
      <sz val="10"/>
      <name val="Arial Cyr"/>
      <family val="0"/>
    </font>
    <font>
      <sz val="10"/>
      <color indexed="63"/>
      <name val="MyriadPro-SemiboldCond"/>
      <family val="0"/>
    </font>
    <font>
      <sz val="10"/>
      <color indexed="63"/>
      <name val="MyriadPro-LightCond"/>
      <family val="0"/>
    </font>
    <font>
      <b/>
      <sz val="10"/>
      <color indexed="10"/>
      <name val="MyriadPro-LightCond"/>
      <family val="0"/>
    </font>
    <font>
      <i/>
      <sz val="10"/>
      <name val="Arial Cyr"/>
      <family val="0"/>
    </font>
  </fonts>
  <fills count="10">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4"/>
        <bgColor indexed="64"/>
      </patternFill>
    </fill>
  </fills>
  <borders count="49">
    <border>
      <left/>
      <right/>
      <top/>
      <bottom/>
      <diagonal/>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color indexed="63"/>
      </top>
      <bottom style="thin"/>
    </border>
    <border>
      <left style="thin"/>
      <right style="thin"/>
      <top style="thin"/>
      <bottom style="medium"/>
    </border>
    <border>
      <left style="thin"/>
      <right style="thin"/>
      <top>
        <color indexed="63"/>
      </top>
      <bottom>
        <color indexed="63"/>
      </bottom>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74">
    <xf numFmtId="0" fontId="0" fillId="0" borderId="0" xfId="0" applyAlignment="1">
      <alignment/>
    </xf>
    <xf numFmtId="0" fontId="2" fillId="0" borderId="0" xfId="0" applyFont="1" applyAlignment="1">
      <alignment/>
    </xf>
    <xf numFmtId="2" fontId="0" fillId="0" borderId="0" xfId="0" applyNumberFormat="1" applyAlignment="1">
      <alignment/>
    </xf>
    <xf numFmtId="2" fontId="0" fillId="0" borderId="1" xfId="0" applyNumberFormat="1" applyBorder="1" applyAlignment="1">
      <alignment/>
    </xf>
    <xf numFmtId="2" fontId="2" fillId="2" borderId="1" xfId="0" applyNumberFormat="1" applyFont="1" applyFill="1" applyBorder="1" applyAlignment="1">
      <alignment/>
    </xf>
    <xf numFmtId="2" fontId="0" fillId="2" borderId="1" xfId="0" applyNumberFormat="1" applyFill="1" applyBorder="1" applyAlignment="1">
      <alignment/>
    </xf>
    <xf numFmtId="174" fontId="0" fillId="0" borderId="0" xfId="0" applyNumberFormat="1" applyAlignment="1">
      <alignment/>
    </xf>
    <xf numFmtId="174" fontId="0" fillId="0" borderId="1" xfId="0" applyNumberFormat="1" applyBorder="1" applyAlignment="1">
      <alignment/>
    </xf>
    <xf numFmtId="174" fontId="2" fillId="2" borderId="1" xfId="0" applyNumberFormat="1" applyFont="1" applyFill="1" applyBorder="1" applyAlignment="1">
      <alignment/>
    </xf>
    <xf numFmtId="174" fontId="0" fillId="2" borderId="1" xfId="0" applyNumberFormat="1" applyFill="1" applyBorder="1" applyAlignment="1">
      <alignment/>
    </xf>
    <xf numFmtId="0" fontId="0" fillId="0" borderId="0" xfId="0" applyAlignment="1">
      <alignment horizontal="center"/>
    </xf>
    <xf numFmtId="0" fontId="0" fillId="0" borderId="2" xfId="0" applyBorder="1" applyAlignment="1">
      <alignment/>
    </xf>
    <xf numFmtId="0" fontId="0" fillId="2" borderId="2" xfId="0" applyFill="1" applyBorder="1" applyAlignment="1">
      <alignment/>
    </xf>
    <xf numFmtId="2" fontId="0" fillId="0" borderId="3" xfId="0" applyNumberFormat="1" applyBorder="1" applyAlignment="1">
      <alignment/>
    </xf>
    <xf numFmtId="2" fontId="0" fillId="0" borderId="4" xfId="0" applyNumberFormat="1" applyBorder="1" applyAlignment="1">
      <alignment/>
    </xf>
    <xf numFmtId="2" fontId="0" fillId="2" borderId="3" xfId="0" applyNumberFormat="1" applyFill="1" applyBorder="1" applyAlignment="1">
      <alignment/>
    </xf>
    <xf numFmtId="2" fontId="0" fillId="2" borderId="4" xfId="0" applyNumberFormat="1" applyFill="1" applyBorder="1" applyAlignment="1">
      <alignment/>
    </xf>
    <xf numFmtId="2" fontId="0" fillId="0" borderId="5" xfId="0" applyNumberFormat="1" applyBorder="1" applyAlignment="1">
      <alignment/>
    </xf>
    <xf numFmtId="2" fontId="0" fillId="0" borderId="6" xfId="0" applyNumberFormat="1" applyBorder="1" applyAlignment="1">
      <alignment/>
    </xf>
    <xf numFmtId="0" fontId="0" fillId="0" borderId="7" xfId="0" applyBorder="1" applyAlignment="1">
      <alignment/>
    </xf>
    <xf numFmtId="0" fontId="2" fillId="2" borderId="7" xfId="0" applyFont="1" applyFill="1" applyBorder="1" applyAlignment="1">
      <alignment/>
    </xf>
    <xf numFmtId="0" fontId="2" fillId="2" borderId="2" xfId="0" applyFont="1" applyFill="1" applyBorder="1" applyAlignment="1">
      <alignment/>
    </xf>
    <xf numFmtId="0" fontId="0" fillId="0" borderId="8" xfId="0" applyBorder="1" applyAlignment="1">
      <alignment/>
    </xf>
    <xf numFmtId="0" fontId="0" fillId="0" borderId="0" xfId="0" applyNumberFormat="1" applyAlignment="1">
      <alignment horizontal="center"/>
    </xf>
    <xf numFmtId="0" fontId="2" fillId="0" borderId="7" xfId="0" applyNumberFormat="1" applyFont="1" applyBorder="1" applyAlignment="1">
      <alignment horizontal="center"/>
    </xf>
    <xf numFmtId="0" fontId="0" fillId="0" borderId="7" xfId="0" applyNumberFormat="1" applyBorder="1" applyAlignment="1">
      <alignment horizontal="center"/>
    </xf>
    <xf numFmtId="0" fontId="0" fillId="0" borderId="7" xfId="0" applyNumberFormat="1" applyFont="1" applyBorder="1" applyAlignment="1">
      <alignment horizontal="center"/>
    </xf>
    <xf numFmtId="0" fontId="2" fillId="2" borderId="7" xfId="0" applyNumberFormat="1" applyFont="1" applyFill="1" applyBorder="1" applyAlignment="1">
      <alignment horizontal="center"/>
    </xf>
    <xf numFmtId="0" fontId="0" fillId="0" borderId="9" xfId="0" applyBorder="1" applyAlignment="1">
      <alignment/>
    </xf>
    <xf numFmtId="0" fontId="0" fillId="0" borderId="10" xfId="0" applyBorder="1" applyAlignment="1">
      <alignment/>
    </xf>
    <xf numFmtId="2" fontId="0" fillId="0" borderId="11" xfId="0" applyNumberFormat="1" applyBorder="1" applyAlignment="1">
      <alignment/>
    </xf>
    <xf numFmtId="174" fontId="0" fillId="0" borderId="11" xfId="0" applyNumberFormat="1" applyBorder="1" applyAlignment="1">
      <alignment/>
    </xf>
    <xf numFmtId="0" fontId="0" fillId="0" borderId="9" xfId="0" applyNumberFormat="1" applyBorder="1" applyAlignment="1">
      <alignment horizontal="center"/>
    </xf>
    <xf numFmtId="174" fontId="2" fillId="2" borderId="12" xfId="0" applyNumberFormat="1" applyFont="1" applyFill="1" applyBorder="1" applyAlignment="1">
      <alignment/>
    </xf>
    <xf numFmtId="2" fontId="5" fillId="0" borderId="1" xfId="0" applyNumberFormat="1" applyFont="1" applyBorder="1" applyAlignment="1">
      <alignment horizontal="center"/>
    </xf>
    <xf numFmtId="0" fontId="0" fillId="0" borderId="2" xfId="0" applyBorder="1" applyAlignment="1">
      <alignment horizontal="center"/>
    </xf>
    <xf numFmtId="0" fontId="2" fillId="3" borderId="3" xfId="0" applyFont="1" applyFill="1" applyBorder="1" applyAlignment="1">
      <alignment horizontal="center"/>
    </xf>
    <xf numFmtId="0" fontId="2" fillId="0" borderId="1" xfId="0" applyFont="1" applyBorder="1" applyAlignment="1">
      <alignment/>
    </xf>
    <xf numFmtId="0" fontId="0" fillId="2" borderId="7" xfId="0" applyFill="1" applyBorder="1" applyAlignment="1">
      <alignment/>
    </xf>
    <xf numFmtId="0" fontId="0" fillId="2" borderId="7" xfId="0" applyNumberFormat="1" applyFill="1" applyBorder="1" applyAlignment="1">
      <alignment horizontal="center"/>
    </xf>
    <xf numFmtId="0" fontId="0" fillId="2" borderId="7" xfId="0" applyFont="1" applyFill="1" applyBorder="1" applyAlignment="1">
      <alignment/>
    </xf>
    <xf numFmtId="0" fontId="0" fillId="2" borderId="2" xfId="0" applyFont="1" applyFill="1" applyBorder="1" applyAlignment="1">
      <alignment/>
    </xf>
    <xf numFmtId="2" fontId="0" fillId="2" borderId="1" xfId="0" applyNumberFormat="1" applyFont="1" applyFill="1" applyBorder="1" applyAlignment="1">
      <alignment/>
    </xf>
    <xf numFmtId="174" fontId="0" fillId="2" borderId="1" xfId="0" applyNumberFormat="1" applyFont="1" applyFill="1" applyBorder="1" applyAlignment="1">
      <alignment/>
    </xf>
    <xf numFmtId="0" fontId="0" fillId="2" borderId="7" xfId="0" applyNumberFormat="1" applyFont="1" applyFill="1" applyBorder="1" applyAlignment="1">
      <alignment horizontal="center"/>
    </xf>
    <xf numFmtId="2" fontId="0" fillId="2" borderId="3" xfId="0" applyNumberFormat="1" applyFont="1" applyFill="1" applyBorder="1" applyAlignment="1">
      <alignment/>
    </xf>
    <xf numFmtId="2" fontId="0" fillId="2" borderId="4" xfId="0" applyNumberFormat="1" applyFont="1" applyFill="1" applyBorder="1" applyAlignment="1">
      <alignment/>
    </xf>
    <xf numFmtId="2" fontId="2" fillId="2" borderId="3" xfId="0" applyNumberFormat="1" applyFont="1" applyFill="1" applyBorder="1" applyAlignment="1">
      <alignment/>
    </xf>
    <xf numFmtId="2" fontId="2" fillId="2" borderId="4" xfId="0" applyNumberFormat="1" applyFont="1" applyFill="1" applyBorder="1" applyAlignment="1">
      <alignment/>
    </xf>
    <xf numFmtId="1" fontId="0" fillId="0" borderId="1" xfId="0" applyNumberFormat="1" applyBorder="1" applyAlignment="1">
      <alignment/>
    </xf>
    <xf numFmtId="0" fontId="2" fillId="0" borderId="0" xfId="0" applyFont="1" applyAlignment="1">
      <alignment horizontal="center"/>
    </xf>
    <xf numFmtId="0" fontId="2" fillId="0" borderId="13" xfId="0" applyFont="1" applyBorder="1" applyAlignment="1">
      <alignment horizontal="center"/>
    </xf>
    <xf numFmtId="2" fontId="2" fillId="0" borderId="13" xfId="0" applyNumberFormat="1" applyFont="1" applyBorder="1" applyAlignment="1">
      <alignment horizontal="center"/>
    </xf>
    <xf numFmtId="0" fontId="0" fillId="4" borderId="7" xfId="0" applyFill="1" applyBorder="1" applyAlignment="1">
      <alignment/>
    </xf>
    <xf numFmtId="2" fontId="0" fillId="0" borderId="7" xfId="0" applyNumberFormat="1" applyFill="1" applyBorder="1" applyAlignment="1">
      <alignment/>
    </xf>
    <xf numFmtId="173" fontId="0" fillId="0" borderId="7" xfId="0" applyNumberFormat="1" applyFill="1" applyBorder="1" applyAlignment="1">
      <alignment/>
    </xf>
    <xf numFmtId="2" fontId="0" fillId="0" borderId="0" xfId="0" applyNumberFormat="1" applyBorder="1" applyAlignment="1">
      <alignment/>
    </xf>
    <xf numFmtId="174" fontId="0" fillId="0" borderId="0" xfId="0" applyNumberFormat="1" applyBorder="1" applyAlignment="1">
      <alignment/>
    </xf>
    <xf numFmtId="0" fontId="0" fillId="0" borderId="0" xfId="0" applyNumberFormat="1" applyBorder="1" applyAlignment="1">
      <alignment horizontal="center"/>
    </xf>
    <xf numFmtId="0" fontId="0" fillId="0" borderId="0" xfId="0" applyBorder="1" applyAlignment="1">
      <alignment/>
    </xf>
    <xf numFmtId="174" fontId="0" fillId="0" borderId="0" xfId="0" applyNumberForma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xf>
    <xf numFmtId="2" fontId="2" fillId="0" borderId="15" xfId="0" applyNumberFormat="1" applyFont="1" applyBorder="1" applyAlignment="1">
      <alignment/>
    </xf>
    <xf numFmtId="0" fontId="2" fillId="0" borderId="16" xfId="0" applyFont="1" applyBorder="1" applyAlignment="1">
      <alignment/>
    </xf>
    <xf numFmtId="0" fontId="2" fillId="2" borderId="12" xfId="0" applyNumberFormat="1" applyFont="1" applyFill="1" applyBorder="1" applyAlignment="1">
      <alignment horizontal="center"/>
    </xf>
    <xf numFmtId="0" fontId="2" fillId="0" borderId="0" xfId="0" applyFont="1" applyBorder="1" applyAlignment="1">
      <alignment/>
    </xf>
    <xf numFmtId="173" fontId="0" fillId="0" borderId="0" xfId="0" applyNumberFormat="1" applyFill="1" applyBorder="1" applyAlignment="1">
      <alignment/>
    </xf>
    <xf numFmtId="0" fontId="0" fillId="0" borderId="0" xfId="0" applyFill="1" applyAlignment="1">
      <alignment/>
    </xf>
    <xf numFmtId="172" fontId="0" fillId="0" borderId="1" xfId="0" applyNumberFormat="1" applyBorder="1" applyAlignment="1">
      <alignment/>
    </xf>
    <xf numFmtId="172" fontId="2" fillId="2" borderId="1" xfId="0" applyNumberFormat="1" applyFont="1" applyFill="1" applyBorder="1" applyAlignment="1">
      <alignment/>
    </xf>
    <xf numFmtId="172" fontId="0" fillId="2" borderId="1" xfId="0" applyNumberFormat="1" applyFill="1" applyBorder="1" applyAlignment="1">
      <alignment/>
    </xf>
    <xf numFmtId="172" fontId="0" fillId="2" borderId="1" xfId="0" applyNumberFormat="1" applyFont="1" applyFill="1" applyBorder="1" applyAlignment="1">
      <alignment/>
    </xf>
    <xf numFmtId="172" fontId="0" fillId="0" borderId="11" xfId="0" applyNumberFormat="1" applyBorder="1" applyAlignment="1">
      <alignment/>
    </xf>
    <xf numFmtId="172" fontId="2" fillId="2" borderId="12" xfId="0"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3" fontId="0" fillId="0" borderId="0" xfId="0" applyNumberFormat="1" applyBorder="1" applyAlignment="1">
      <alignment/>
    </xf>
    <xf numFmtId="0" fontId="0" fillId="0" borderId="22" xfId="0" applyBorder="1" applyAlignment="1">
      <alignment/>
    </xf>
    <xf numFmtId="0" fontId="0" fillId="0" borderId="23" xfId="0" applyBorder="1" applyAlignment="1">
      <alignment/>
    </xf>
    <xf numFmtId="173" fontId="0" fillId="0" borderId="23" xfId="0" applyNumberFormat="1" applyBorder="1" applyAlignment="1">
      <alignment/>
    </xf>
    <xf numFmtId="0" fontId="0" fillId="0" borderId="24" xfId="0" applyBorder="1" applyAlignment="1">
      <alignmen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173" fontId="0" fillId="0" borderId="26" xfId="0" applyNumberFormat="1" applyBorder="1" applyAlignment="1">
      <alignment/>
    </xf>
    <xf numFmtId="0" fontId="0" fillId="4" borderId="1" xfId="0" applyFill="1" applyBorder="1" applyAlignment="1">
      <alignment/>
    </xf>
    <xf numFmtId="172" fontId="0" fillId="0" borderId="1" xfId="0" applyNumberFormat="1" applyFill="1" applyBorder="1" applyAlignment="1">
      <alignment/>
    </xf>
    <xf numFmtId="0" fontId="2" fillId="0" borderId="1" xfId="0" applyFont="1" applyFill="1" applyBorder="1" applyAlignment="1">
      <alignment/>
    </xf>
    <xf numFmtId="173" fontId="0" fillId="0" borderId="1" xfId="0" applyNumberFormat="1" applyBorder="1" applyAlignment="1">
      <alignment/>
    </xf>
    <xf numFmtId="173" fontId="0" fillId="0" borderId="1" xfId="0" applyNumberFormat="1" applyFill="1" applyBorder="1" applyAlignment="1">
      <alignment/>
    </xf>
    <xf numFmtId="0" fontId="0" fillId="0" borderId="27" xfId="0" applyBorder="1" applyAlignment="1">
      <alignment horizontal="center"/>
    </xf>
    <xf numFmtId="0" fontId="2" fillId="3" borderId="28" xfId="0" applyFont="1" applyFill="1" applyBorder="1" applyAlignment="1">
      <alignment horizontal="center"/>
    </xf>
    <xf numFmtId="0" fontId="0" fillId="0" borderId="29" xfId="0" applyBorder="1" applyAlignment="1">
      <alignment horizontal="center"/>
    </xf>
    <xf numFmtId="2" fontId="2" fillId="0" borderId="30" xfId="0" applyNumberFormat="1" applyFont="1" applyBorder="1" applyAlignment="1">
      <alignment horizontal="center"/>
    </xf>
    <xf numFmtId="174" fontId="2" fillId="0" borderId="30" xfId="0" applyNumberFormat="1" applyFont="1" applyBorder="1" applyAlignment="1">
      <alignment horizontal="center"/>
    </xf>
    <xf numFmtId="0" fontId="0" fillId="5" borderId="7" xfId="0" applyFill="1" applyBorder="1" applyAlignment="1">
      <alignment/>
    </xf>
    <xf numFmtId="0" fontId="0" fillId="5" borderId="2" xfId="0" applyFill="1" applyBorder="1" applyAlignment="1">
      <alignment/>
    </xf>
    <xf numFmtId="2" fontId="0" fillId="5" borderId="1" xfId="0" applyNumberFormat="1" applyFill="1" applyBorder="1" applyAlignment="1">
      <alignment/>
    </xf>
    <xf numFmtId="172" fontId="0" fillId="5" borderId="1" xfId="0" applyNumberFormat="1" applyFill="1" applyBorder="1" applyAlignment="1">
      <alignment/>
    </xf>
    <xf numFmtId="2" fontId="0" fillId="5" borderId="3" xfId="0" applyNumberFormat="1" applyFill="1" applyBorder="1" applyAlignment="1">
      <alignment/>
    </xf>
    <xf numFmtId="2" fontId="0" fillId="5" borderId="4" xfId="0" applyNumberFormat="1" applyFill="1" applyBorder="1" applyAlignment="1">
      <alignment/>
    </xf>
    <xf numFmtId="0" fontId="2" fillId="5" borderId="7" xfId="0" applyNumberFormat="1" applyFont="1" applyFill="1" applyBorder="1" applyAlignment="1">
      <alignment horizontal="center"/>
    </xf>
    <xf numFmtId="0" fontId="0" fillId="5" borderId="20"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2" borderId="31" xfId="0" applyFill="1" applyBorder="1" applyAlignment="1">
      <alignment/>
    </xf>
    <xf numFmtId="0" fontId="0" fillId="0" borderId="27" xfId="0" applyNumberFormat="1" applyBorder="1" applyAlignment="1">
      <alignment horizontal="center"/>
    </xf>
    <xf numFmtId="0" fontId="2" fillId="3" borderId="35" xfId="0" applyFont="1" applyFill="1" applyBorder="1" applyAlignment="1">
      <alignment horizontal="center"/>
    </xf>
    <xf numFmtId="0" fontId="0" fillId="0" borderId="1" xfId="0" applyBorder="1" applyAlignment="1">
      <alignment/>
    </xf>
    <xf numFmtId="0" fontId="2" fillId="0" borderId="1" xfId="0" applyFont="1" applyBorder="1" applyAlignment="1">
      <alignment horizontal="center"/>
    </xf>
    <xf numFmtId="0" fontId="0" fillId="0" borderId="1" xfId="0" applyNumberFormat="1" applyBorder="1" applyAlignment="1">
      <alignment horizontal="center"/>
    </xf>
    <xf numFmtId="0" fontId="2" fillId="0" borderId="1" xfId="0" applyNumberFormat="1" applyFont="1" applyBorder="1" applyAlignment="1">
      <alignment horizontal="center"/>
    </xf>
    <xf numFmtId="2" fontId="2" fillId="0" borderId="4" xfId="0" applyNumberFormat="1" applyFont="1" applyFill="1" applyBorder="1" applyAlignment="1">
      <alignment/>
    </xf>
    <xf numFmtId="0" fontId="0" fillId="0" borderId="1" xfId="0" applyBorder="1" applyAlignment="1">
      <alignment horizontal="center"/>
    </xf>
    <xf numFmtId="0" fontId="0" fillId="0" borderId="0" xfId="0" applyFill="1" applyBorder="1" applyAlignment="1">
      <alignment/>
    </xf>
    <xf numFmtId="0" fontId="0" fillId="0" borderId="7" xfId="0" applyFill="1" applyBorder="1" applyAlignment="1">
      <alignment/>
    </xf>
    <xf numFmtId="0" fontId="0" fillId="0" borderId="2" xfId="0" applyFill="1" applyBorder="1" applyAlignment="1">
      <alignment/>
    </xf>
    <xf numFmtId="2" fontId="0" fillId="0" borderId="1" xfId="0" applyNumberFormat="1" applyFill="1" applyBorder="1" applyAlignment="1">
      <alignment/>
    </xf>
    <xf numFmtId="1" fontId="0" fillId="0" borderId="1" xfId="0" applyNumberFormat="1" applyFill="1" applyBorder="1" applyAlignment="1">
      <alignment/>
    </xf>
    <xf numFmtId="0" fontId="2" fillId="0" borderId="7" xfId="0" applyNumberFormat="1" applyFont="1" applyFill="1" applyBorder="1" applyAlignment="1">
      <alignment horizontal="center"/>
    </xf>
    <xf numFmtId="2" fontId="0" fillId="0" borderId="3" xfId="0" applyNumberFormat="1" applyFill="1" applyBorder="1" applyAlignment="1">
      <alignment/>
    </xf>
    <xf numFmtId="2" fontId="0" fillId="0" borderId="4" xfId="0" applyNumberFormat="1" applyFill="1" applyBorder="1" applyAlignment="1">
      <alignment/>
    </xf>
    <xf numFmtId="0" fontId="0" fillId="0" borderId="7" xfId="0" applyNumberFormat="1" applyFont="1" applyFill="1" applyBorder="1" applyAlignment="1">
      <alignment horizontal="center"/>
    </xf>
    <xf numFmtId="0" fontId="2" fillId="0" borderId="7" xfId="0" applyFont="1" applyFill="1" applyBorder="1" applyAlignment="1">
      <alignment/>
    </xf>
    <xf numFmtId="0" fontId="2" fillId="0" borderId="2" xfId="0" applyFont="1" applyFill="1" applyBorder="1" applyAlignment="1">
      <alignment/>
    </xf>
    <xf numFmtId="2" fontId="2" fillId="0" borderId="1" xfId="0" applyNumberFormat="1" applyFont="1" applyFill="1" applyBorder="1" applyAlignment="1">
      <alignment/>
    </xf>
    <xf numFmtId="172" fontId="2" fillId="0" borderId="1" xfId="0" applyNumberFormat="1" applyFont="1" applyFill="1" applyBorder="1" applyAlignment="1">
      <alignment/>
    </xf>
    <xf numFmtId="2" fontId="2" fillId="0" borderId="3" xfId="0" applyNumberFormat="1" applyFont="1" applyFill="1" applyBorder="1" applyAlignment="1">
      <alignment/>
    </xf>
    <xf numFmtId="0" fontId="0" fillId="0" borderId="7" xfId="0" applyFont="1" applyFill="1" applyBorder="1" applyAlignment="1">
      <alignment/>
    </xf>
    <xf numFmtId="0" fontId="0" fillId="0" borderId="2" xfId="0" applyFont="1" applyFill="1" applyBorder="1" applyAlignment="1">
      <alignment/>
    </xf>
    <xf numFmtId="2" fontId="0" fillId="0" borderId="1" xfId="0" applyNumberFormat="1" applyFont="1" applyFill="1" applyBorder="1" applyAlignment="1">
      <alignment/>
    </xf>
    <xf numFmtId="172" fontId="0" fillId="0" borderId="1" xfId="0" applyNumberFormat="1" applyFont="1" applyFill="1" applyBorder="1" applyAlignment="1">
      <alignment/>
    </xf>
    <xf numFmtId="2" fontId="0" fillId="0" borderId="3" xfId="0" applyNumberFormat="1" applyFont="1" applyFill="1" applyBorder="1" applyAlignment="1">
      <alignment/>
    </xf>
    <xf numFmtId="2" fontId="0" fillId="0" borderId="4" xfId="0" applyNumberFormat="1" applyFont="1" applyFill="1" applyBorder="1" applyAlignment="1">
      <alignment/>
    </xf>
    <xf numFmtId="0" fontId="0" fillId="0" borderId="9" xfId="0" applyFill="1" applyBorder="1" applyAlignment="1">
      <alignment/>
    </xf>
    <xf numFmtId="0" fontId="0" fillId="0" borderId="10" xfId="0" applyFill="1" applyBorder="1" applyAlignment="1">
      <alignment/>
    </xf>
    <xf numFmtId="172" fontId="0" fillId="0" borderId="11" xfId="0" applyNumberFormat="1" applyFill="1" applyBorder="1" applyAlignment="1">
      <alignment/>
    </xf>
    <xf numFmtId="2" fontId="0" fillId="0" borderId="6" xfId="0" applyNumberForma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2" fontId="2" fillId="0" borderId="15" xfId="0" applyNumberFormat="1" applyFont="1" applyFill="1" applyBorder="1" applyAlignment="1">
      <alignment/>
    </xf>
    <xf numFmtId="172" fontId="2" fillId="0" borderId="12" xfId="0" applyNumberFormat="1" applyFont="1" applyFill="1" applyBorder="1" applyAlignment="1">
      <alignment/>
    </xf>
    <xf numFmtId="0" fontId="2" fillId="0" borderId="12" xfId="0" applyNumberFormat="1" applyFont="1" applyFill="1" applyBorder="1" applyAlignment="1">
      <alignment horizontal="center"/>
    </xf>
    <xf numFmtId="0" fontId="2" fillId="0" borderId="16"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2" borderId="0" xfId="0" applyFont="1" applyFill="1" applyAlignment="1">
      <alignment/>
    </xf>
    <xf numFmtId="0" fontId="0" fillId="6" borderId="0" xfId="0" applyFill="1" applyBorder="1" applyAlignment="1">
      <alignment/>
    </xf>
    <xf numFmtId="173" fontId="0" fillId="6" borderId="0" xfId="0" applyNumberFormat="1" applyFill="1" applyBorder="1" applyAlignment="1">
      <alignment/>
    </xf>
    <xf numFmtId="173" fontId="0" fillId="0" borderId="0" xfId="0" applyNumberFormat="1" applyAlignment="1">
      <alignment/>
    </xf>
    <xf numFmtId="1" fontId="0" fillId="0" borderId="1" xfId="0" applyNumberFormat="1"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172" fontId="0" fillId="0" borderId="11" xfId="0" applyNumberFormat="1" applyFont="1" applyFill="1" applyBorder="1" applyAlignment="1">
      <alignment/>
    </xf>
    <xf numFmtId="2" fontId="0" fillId="0" borderId="6" xfId="0" applyNumberFormat="1" applyFont="1" applyFill="1" applyBorder="1" applyAlignment="1">
      <alignment/>
    </xf>
    <xf numFmtId="0" fontId="0" fillId="2" borderId="17" xfId="0" applyFill="1" applyBorder="1" applyAlignment="1">
      <alignment/>
    </xf>
    <xf numFmtId="173" fontId="0" fillId="0" borderId="18" xfId="0" applyNumberFormat="1" applyBorder="1" applyAlignment="1">
      <alignment/>
    </xf>
    <xf numFmtId="0" fontId="0" fillId="0" borderId="23" xfId="0" applyFill="1" applyBorder="1" applyAlignment="1">
      <alignment/>
    </xf>
    <xf numFmtId="0" fontId="0" fillId="0" borderId="23" xfId="0" applyNumberFormat="1" applyBorder="1" applyAlignment="1">
      <alignment horizontal="center"/>
    </xf>
    <xf numFmtId="0" fontId="2" fillId="0" borderId="23" xfId="0" applyFont="1" applyBorder="1" applyAlignment="1">
      <alignment/>
    </xf>
    <xf numFmtId="2" fontId="2" fillId="0" borderId="0" xfId="0" applyNumberFormat="1" applyFont="1" applyAlignment="1">
      <alignment/>
    </xf>
    <xf numFmtId="174" fontId="2" fillId="0" borderId="0" xfId="0" applyNumberFormat="1" applyFont="1" applyAlignment="1">
      <alignment/>
    </xf>
    <xf numFmtId="0" fontId="2" fillId="0" borderId="0" xfId="0" applyNumberFormat="1" applyFont="1" applyAlignment="1">
      <alignment horizontal="center"/>
    </xf>
    <xf numFmtId="0" fontId="0" fillId="0" borderId="21" xfId="0" applyFill="1" applyBorder="1" applyAlignment="1">
      <alignment/>
    </xf>
    <xf numFmtId="0" fontId="0" fillId="6" borderId="21" xfId="0" applyFill="1" applyBorder="1" applyAlignment="1">
      <alignment/>
    </xf>
    <xf numFmtId="0" fontId="0" fillId="6" borderId="0" xfId="0"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0" xfId="0" applyNumberFormat="1" applyFill="1" applyBorder="1" applyAlignment="1">
      <alignment horizontal="center"/>
    </xf>
    <xf numFmtId="0" fontId="0" fillId="0" borderId="22" xfId="0" applyFill="1" applyBorder="1" applyAlignment="1">
      <alignment/>
    </xf>
    <xf numFmtId="173" fontId="0" fillId="0" borderId="23" xfId="0" applyNumberFormat="1" applyFill="1" applyBorder="1" applyAlignment="1">
      <alignment/>
    </xf>
    <xf numFmtId="0" fontId="0" fillId="0" borderId="24" xfId="0" applyFill="1" applyBorder="1" applyAlignment="1">
      <alignment/>
    </xf>
    <xf numFmtId="0" fontId="2" fillId="0" borderId="0" xfId="0" applyFont="1" applyFill="1" applyBorder="1" applyAlignment="1">
      <alignment/>
    </xf>
    <xf numFmtId="0" fontId="2" fillId="6" borderId="1" xfId="0" applyFont="1" applyFill="1" applyBorder="1" applyAlignment="1">
      <alignment/>
    </xf>
    <xf numFmtId="173" fontId="0" fillId="6" borderId="1" xfId="0" applyNumberFormat="1" applyFill="1" applyBorder="1" applyAlignment="1">
      <alignment/>
    </xf>
    <xf numFmtId="2" fontId="0" fillId="6" borderId="0" xfId="0" applyNumberFormat="1" applyFill="1" applyBorder="1" applyAlignment="1">
      <alignment/>
    </xf>
    <xf numFmtId="174" fontId="0" fillId="6" borderId="0" xfId="0" applyNumberFormat="1" applyFill="1" applyBorder="1" applyAlignment="1">
      <alignment/>
    </xf>
    <xf numFmtId="0" fontId="0" fillId="6" borderId="0" xfId="0" applyNumberFormat="1" applyFill="1" applyBorder="1" applyAlignment="1">
      <alignment horizontal="center"/>
    </xf>
    <xf numFmtId="0" fontId="0" fillId="6" borderId="1" xfId="0" applyFill="1" applyBorder="1" applyAlignment="1">
      <alignment/>
    </xf>
    <xf numFmtId="0" fontId="8" fillId="0" borderId="1" xfId="0" applyFont="1" applyBorder="1" applyAlignment="1">
      <alignment vertical="top" wrapText="1"/>
    </xf>
    <xf numFmtId="0" fontId="9" fillId="0" borderId="1" xfId="0" applyFont="1" applyBorder="1" applyAlignment="1">
      <alignment horizontal="center" vertical="top"/>
    </xf>
    <xf numFmtId="0" fontId="8" fillId="0" borderId="0" xfId="0" applyFont="1" applyAlignment="1">
      <alignment vertical="top"/>
    </xf>
    <xf numFmtId="0" fontId="8" fillId="0" borderId="1" xfId="0" applyFont="1" applyBorder="1" applyAlignment="1">
      <alignment vertical="top"/>
    </xf>
    <xf numFmtId="11" fontId="8" fillId="0" borderId="1" xfId="0" applyNumberFormat="1" applyFont="1" applyBorder="1" applyAlignment="1">
      <alignment vertical="top"/>
    </xf>
    <xf numFmtId="0" fontId="8" fillId="6" borderId="1" xfId="0" applyFont="1" applyFill="1" applyBorder="1" applyAlignment="1">
      <alignment vertical="top"/>
    </xf>
    <xf numFmtId="11" fontId="10" fillId="0" borderId="1" xfId="0" applyNumberFormat="1" applyFont="1" applyBorder="1" applyAlignment="1">
      <alignment vertical="top"/>
    </xf>
    <xf numFmtId="2" fontId="10" fillId="0" borderId="1" xfId="0" applyNumberFormat="1" applyFont="1" applyBorder="1" applyAlignment="1">
      <alignment vertical="top"/>
    </xf>
    <xf numFmtId="9" fontId="8" fillId="6" borderId="1" xfId="0" applyNumberFormat="1" applyFont="1" applyFill="1" applyBorder="1" applyAlignment="1">
      <alignment vertical="top"/>
    </xf>
    <xf numFmtId="182" fontId="10" fillId="0" borderId="1" xfId="0" applyNumberFormat="1" applyFont="1" applyBorder="1" applyAlignment="1">
      <alignment vertical="top"/>
    </xf>
    <xf numFmtId="1" fontId="8" fillId="0" borderId="1" xfId="0" applyNumberFormat="1" applyFont="1" applyBorder="1" applyAlignment="1">
      <alignment vertical="top"/>
    </xf>
    <xf numFmtId="0" fontId="8" fillId="0" borderId="11" xfId="0" applyFont="1" applyBorder="1" applyAlignment="1">
      <alignment vertical="top"/>
    </xf>
    <xf numFmtId="11" fontId="10" fillId="0" borderId="11" xfId="0" applyNumberFormat="1" applyFont="1" applyBorder="1" applyAlignment="1">
      <alignment vertical="top"/>
    </xf>
    <xf numFmtId="0" fontId="8" fillId="0" borderId="36" xfId="0" applyFont="1" applyBorder="1" applyAlignment="1">
      <alignment vertical="top"/>
    </xf>
    <xf numFmtId="0" fontId="8" fillId="0" borderId="37" xfId="0" applyFont="1" applyBorder="1" applyAlignment="1">
      <alignment vertical="top"/>
    </xf>
    <xf numFmtId="1" fontId="8" fillId="0" borderId="37" xfId="0" applyNumberFormat="1" applyFont="1" applyBorder="1" applyAlignment="1">
      <alignment vertical="top"/>
    </xf>
    <xf numFmtId="0" fontId="8" fillId="0" borderId="3" xfId="0" applyFont="1" applyBorder="1" applyAlignment="1">
      <alignment vertical="top"/>
    </xf>
    <xf numFmtId="2" fontId="8" fillId="0" borderId="1" xfId="0" applyNumberFormat="1" applyFont="1" applyBorder="1" applyAlignment="1">
      <alignment vertical="top"/>
    </xf>
    <xf numFmtId="1" fontId="10" fillId="0" borderId="1" xfId="0" applyNumberFormat="1" applyFont="1" applyBorder="1" applyAlignment="1">
      <alignment vertical="top"/>
    </xf>
    <xf numFmtId="0" fontId="8" fillId="0" borderId="38" xfId="0" applyFont="1" applyBorder="1" applyAlignment="1">
      <alignment horizontal="left" vertical="top" wrapText="1"/>
    </xf>
    <xf numFmtId="0" fontId="8" fillId="0" borderId="5" xfId="0" applyFont="1" applyBorder="1" applyAlignment="1">
      <alignment vertical="top" wrapText="1"/>
    </xf>
    <xf numFmtId="0" fontId="8" fillId="0" borderId="39" xfId="0" applyFont="1" applyBorder="1" applyAlignment="1">
      <alignment vertical="top"/>
    </xf>
    <xf numFmtId="2" fontId="10" fillId="0" borderId="39" xfId="0" applyNumberFormat="1" applyFont="1" applyBorder="1" applyAlignment="1">
      <alignment vertical="top"/>
    </xf>
    <xf numFmtId="0" fontId="8" fillId="0" borderId="6" xfId="0" applyFont="1" applyBorder="1" applyAlignment="1">
      <alignment vertical="top" wrapText="1"/>
    </xf>
    <xf numFmtId="0" fontId="8" fillId="0" borderId="30" xfId="0" applyFont="1" applyBorder="1" applyAlignment="1">
      <alignment vertical="top"/>
    </xf>
    <xf numFmtId="0" fontId="8" fillId="0" borderId="1" xfId="0" applyFont="1" applyFill="1" applyBorder="1" applyAlignment="1">
      <alignment vertical="top"/>
    </xf>
    <xf numFmtId="0" fontId="8" fillId="0" borderId="0" xfId="0" applyFont="1" applyBorder="1" applyAlignment="1">
      <alignment vertical="top"/>
    </xf>
    <xf numFmtId="180" fontId="8" fillId="0" borderId="0" xfId="0" applyNumberFormat="1" applyFont="1" applyBorder="1" applyAlignment="1">
      <alignment vertical="top"/>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40" xfId="0" applyFont="1" applyBorder="1" applyAlignment="1">
      <alignment horizontal="left" vertical="top" wrapText="1"/>
    </xf>
    <xf numFmtId="0" fontId="8" fillId="6" borderId="30" xfId="0" applyFont="1" applyFill="1" applyBorder="1" applyAlignment="1">
      <alignment vertical="top"/>
    </xf>
    <xf numFmtId="0" fontId="8" fillId="0" borderId="30" xfId="0" applyFont="1" applyBorder="1" applyAlignment="1">
      <alignment/>
    </xf>
    <xf numFmtId="0" fontId="8" fillId="6" borderId="37" xfId="0" applyFont="1" applyFill="1" applyBorder="1" applyAlignment="1">
      <alignment vertical="top"/>
    </xf>
    <xf numFmtId="0" fontId="8" fillId="0" borderId="41" xfId="0" applyFont="1" applyBorder="1" applyAlignment="1">
      <alignment/>
    </xf>
    <xf numFmtId="0" fontId="8" fillId="0" borderId="4"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1" xfId="0" applyFont="1" applyFill="1" applyBorder="1" applyAlignment="1">
      <alignment vertical="top" wrapText="1"/>
    </xf>
    <xf numFmtId="180" fontId="10" fillId="0" borderId="1" xfId="0" applyNumberFormat="1" applyFont="1" applyBorder="1" applyAlignment="1">
      <alignment vertical="top"/>
    </xf>
    <xf numFmtId="172" fontId="10" fillId="0" borderId="1" xfId="0" applyNumberFormat="1" applyFont="1" applyFill="1" applyBorder="1" applyAlignment="1">
      <alignment vertical="top"/>
    </xf>
    <xf numFmtId="0" fontId="10" fillId="0" borderId="1" xfId="0" applyFont="1" applyFill="1" applyBorder="1" applyAlignment="1">
      <alignment vertical="top"/>
    </xf>
    <xf numFmtId="1" fontId="10" fillId="0" borderId="11" xfId="0" applyNumberFormat="1" applyFont="1" applyBorder="1" applyAlignment="1">
      <alignment vertical="top"/>
    </xf>
    <xf numFmtId="172" fontId="10" fillId="0" borderId="1" xfId="0" applyNumberFormat="1" applyFont="1" applyBorder="1" applyAlignment="1">
      <alignment vertical="top"/>
    </xf>
    <xf numFmtId="0" fontId="10" fillId="0" borderId="1" xfId="0" applyFont="1" applyBorder="1" applyAlignment="1">
      <alignment vertical="top"/>
    </xf>
    <xf numFmtId="11" fontId="0" fillId="0" borderId="0" xfId="0" applyNumberFormat="1" applyAlignment="1">
      <alignment/>
    </xf>
    <xf numFmtId="0" fontId="0" fillId="2" borderId="0" xfId="0" applyFill="1" applyAlignment="1">
      <alignment/>
    </xf>
    <xf numFmtId="0" fontId="1" fillId="0" borderId="0" xfId="0" applyFont="1" applyAlignment="1">
      <alignment vertical="top"/>
    </xf>
    <xf numFmtId="0" fontId="13" fillId="0" borderId="1" xfId="0" applyFont="1" applyBorder="1" applyAlignment="1">
      <alignment/>
    </xf>
    <xf numFmtId="0" fontId="1" fillId="0" borderId="0" xfId="0" applyFont="1" applyFill="1" applyAlignment="1">
      <alignment vertical="top"/>
    </xf>
    <xf numFmtId="0" fontId="1" fillId="0" borderId="42" xfId="0" applyFont="1" applyBorder="1" applyAlignment="1">
      <alignment vertical="top"/>
    </xf>
    <xf numFmtId="0" fontId="1" fillId="0" borderId="43" xfId="0" applyFont="1" applyBorder="1" applyAlignment="1">
      <alignment vertical="top"/>
    </xf>
    <xf numFmtId="0" fontId="1" fillId="0" borderId="27" xfId="0" applyFont="1" applyBorder="1" applyAlignment="1">
      <alignment vertical="top"/>
    </xf>
    <xf numFmtId="0" fontId="1" fillId="0" borderId="29" xfId="0" applyFont="1" applyBorder="1" applyAlignment="1">
      <alignment vertical="top"/>
    </xf>
    <xf numFmtId="0" fontId="1" fillId="0" borderId="42" xfId="0" applyFont="1" applyFill="1" applyBorder="1" applyAlignment="1">
      <alignment vertical="top"/>
    </xf>
    <xf numFmtId="0" fontId="1" fillId="0" borderId="43" xfId="0" applyFont="1" applyFill="1" applyBorder="1" applyAlignment="1">
      <alignment vertical="top"/>
    </xf>
    <xf numFmtId="11" fontId="16" fillId="0" borderId="42" xfId="0" applyNumberFormat="1" applyFont="1" applyFill="1" applyBorder="1" applyAlignment="1">
      <alignment vertical="top"/>
    </xf>
    <xf numFmtId="11" fontId="16" fillId="0" borderId="43" xfId="0" applyNumberFormat="1" applyFont="1" applyFill="1" applyBorder="1" applyAlignment="1">
      <alignment vertical="top"/>
    </xf>
    <xf numFmtId="11" fontId="16" fillId="0" borderId="42" xfId="0" applyNumberFormat="1" applyFont="1" applyBorder="1" applyAlignment="1">
      <alignment vertical="top"/>
    </xf>
    <xf numFmtId="11" fontId="16" fillId="0" borderId="43" xfId="0" applyNumberFormat="1" applyFont="1" applyBorder="1" applyAlignment="1">
      <alignment vertical="top"/>
    </xf>
    <xf numFmtId="11" fontId="1" fillId="0" borderId="43" xfId="0" applyNumberFormat="1" applyFont="1" applyBorder="1" applyAlignment="1">
      <alignment vertical="top"/>
    </xf>
    <xf numFmtId="11" fontId="15" fillId="0" borderId="42" xfId="0" applyNumberFormat="1" applyFont="1" applyFill="1" applyBorder="1" applyAlignment="1">
      <alignment vertical="top"/>
    </xf>
    <xf numFmtId="0" fontId="1" fillId="0" borderId="40" xfId="0" applyFont="1" applyBorder="1" applyAlignment="1">
      <alignment vertical="top"/>
    </xf>
    <xf numFmtId="0" fontId="1" fillId="0" borderId="30" xfId="0" applyFont="1" applyBorder="1" applyAlignment="1">
      <alignment vertical="top"/>
    </xf>
    <xf numFmtId="183" fontId="0" fillId="0" borderId="0" xfId="0" applyNumberFormat="1" applyAlignment="1">
      <alignment/>
    </xf>
    <xf numFmtId="0" fontId="17" fillId="0" borderId="0" xfId="0" applyFont="1" applyAlignment="1">
      <alignment/>
    </xf>
    <xf numFmtId="11" fontId="17" fillId="0" borderId="0" xfId="0" applyNumberFormat="1" applyFont="1" applyAlignment="1">
      <alignment/>
    </xf>
    <xf numFmtId="0" fontId="1" fillId="0" borderId="0" xfId="0" applyFont="1" applyAlignment="1">
      <alignment wrapText="1"/>
    </xf>
    <xf numFmtId="11" fontId="16" fillId="0" borderId="40" xfId="0" applyNumberFormat="1" applyFont="1" applyBorder="1" applyAlignment="1">
      <alignment vertical="top"/>
    </xf>
    <xf numFmtId="0" fontId="1" fillId="0" borderId="0" xfId="0" applyFont="1" applyBorder="1" applyAlignment="1">
      <alignment vertical="top"/>
    </xf>
    <xf numFmtId="0" fontId="1" fillId="0" borderId="26" xfId="0" applyFont="1" applyBorder="1" applyAlignment="1">
      <alignment vertical="top"/>
    </xf>
    <xf numFmtId="0" fontId="11" fillId="0" borderId="42" xfId="0" applyFont="1" applyFill="1" applyBorder="1" applyAlignment="1">
      <alignment vertical="top" wrapText="1"/>
    </xf>
    <xf numFmtId="0" fontId="11" fillId="0" borderId="43" xfId="0" applyFont="1" applyFill="1" applyBorder="1" applyAlignment="1">
      <alignment vertical="top" wrapText="1"/>
    </xf>
    <xf numFmtId="0" fontId="1" fillId="5" borderId="0" xfId="0" applyFont="1" applyFill="1" applyAlignment="1">
      <alignment vertical="top"/>
    </xf>
    <xf numFmtId="0" fontId="1" fillId="5" borderId="42" xfId="0" applyFont="1" applyFill="1" applyBorder="1" applyAlignment="1">
      <alignment vertical="top"/>
    </xf>
    <xf numFmtId="0" fontId="1" fillId="5" borderId="43" xfId="0" applyFont="1" applyFill="1" applyBorder="1" applyAlignment="1">
      <alignment vertical="top"/>
    </xf>
    <xf numFmtId="11" fontId="1" fillId="5" borderId="42" xfId="0" applyNumberFormat="1" applyFont="1" applyFill="1" applyBorder="1" applyAlignment="1">
      <alignment horizontal="center" vertical="top"/>
    </xf>
    <xf numFmtId="11" fontId="1" fillId="5" borderId="43" xfId="0" applyNumberFormat="1" applyFont="1" applyFill="1" applyBorder="1" applyAlignment="1">
      <alignment horizontal="center" vertical="top"/>
    </xf>
    <xf numFmtId="0" fontId="1" fillId="5" borderId="40" xfId="0" applyFont="1" applyFill="1" applyBorder="1" applyAlignment="1">
      <alignment vertical="top"/>
    </xf>
    <xf numFmtId="0" fontId="1" fillId="5" borderId="0" xfId="0" applyFont="1" applyFill="1" applyBorder="1" applyAlignment="1">
      <alignment vertical="top"/>
    </xf>
    <xf numFmtId="11" fontId="12" fillId="5" borderId="40" xfId="0" applyNumberFormat="1" applyFont="1" applyFill="1" applyBorder="1" applyAlignment="1">
      <alignment vertical="top"/>
    </xf>
    <xf numFmtId="0" fontId="1" fillId="0" borderId="9" xfId="0" applyFont="1" applyBorder="1" applyAlignment="1">
      <alignment vertical="top"/>
    </xf>
    <xf numFmtId="0" fontId="1" fillId="0" borderId="25" xfId="0" applyFont="1" applyBorder="1" applyAlignment="1">
      <alignment vertical="top"/>
    </xf>
    <xf numFmtId="0" fontId="1" fillId="0" borderId="10" xfId="0" applyFont="1" applyBorder="1" applyAlignment="1">
      <alignment vertical="top"/>
    </xf>
    <xf numFmtId="0" fontId="11" fillId="0" borderId="42" xfId="0" applyFont="1" applyBorder="1" applyAlignment="1">
      <alignment vertical="top"/>
    </xf>
    <xf numFmtId="11" fontId="1" fillId="0" borderId="43" xfId="0" applyNumberFormat="1" applyFont="1" applyFill="1" applyBorder="1" applyAlignment="1">
      <alignment vertical="top"/>
    </xf>
    <xf numFmtId="0" fontId="11" fillId="0" borderId="42" xfId="0" applyFont="1" applyBorder="1" applyAlignment="1">
      <alignment vertical="top" wrapText="1"/>
    </xf>
    <xf numFmtId="0" fontId="11" fillId="0" borderId="0" xfId="0" applyFont="1" applyBorder="1" applyAlignment="1">
      <alignment vertical="top" wrapText="1"/>
    </xf>
    <xf numFmtId="0" fontId="11" fillId="0" borderId="27" xfId="0" applyFont="1" applyBorder="1" applyAlignment="1">
      <alignment vertical="top" wrapText="1"/>
    </xf>
    <xf numFmtId="1" fontId="16" fillId="0" borderId="29" xfId="0" applyNumberFormat="1" applyFont="1" applyBorder="1" applyAlignment="1">
      <alignment vertical="top"/>
    </xf>
    <xf numFmtId="0" fontId="16" fillId="0" borderId="42" xfId="0" applyFont="1" applyBorder="1" applyAlignment="1">
      <alignment vertical="top"/>
    </xf>
    <xf numFmtId="0" fontId="16" fillId="0" borderId="0" xfId="0" applyFont="1" applyBorder="1" applyAlignment="1">
      <alignment vertical="top"/>
    </xf>
    <xf numFmtId="0" fontId="19" fillId="0" borderId="0" xfId="0" applyFont="1" applyBorder="1" applyAlignment="1">
      <alignment horizontal="right"/>
    </xf>
    <xf numFmtId="11" fontId="16" fillId="0" borderId="0" xfId="0" applyNumberFormat="1" applyFont="1" applyFill="1" applyBorder="1" applyAlignment="1">
      <alignment vertical="top"/>
    </xf>
    <xf numFmtId="11" fontId="16" fillId="0" borderId="0" xfId="0" applyNumberFormat="1" applyFont="1" applyBorder="1" applyAlignment="1">
      <alignment vertical="top"/>
    </xf>
    <xf numFmtId="11" fontId="11" fillId="0" borderId="42" xfId="0" applyNumberFormat="1" applyFont="1" applyBorder="1" applyAlignment="1">
      <alignment vertical="top"/>
    </xf>
    <xf numFmtId="11" fontId="11" fillId="0" borderId="40" xfId="0" applyNumberFormat="1" applyFont="1" applyBorder="1" applyAlignment="1">
      <alignment vertical="top"/>
    </xf>
    <xf numFmtId="11" fontId="11" fillId="4" borderId="40" xfId="0" applyNumberFormat="1" applyFont="1" applyFill="1" applyBorder="1" applyAlignment="1">
      <alignment vertical="top"/>
    </xf>
    <xf numFmtId="0" fontId="1" fillId="0" borderId="0" xfId="0" applyFont="1" applyFill="1" applyBorder="1" applyAlignment="1">
      <alignment vertical="top"/>
    </xf>
    <xf numFmtId="0" fontId="1" fillId="0" borderId="40" xfId="0" applyFont="1" applyFill="1" applyBorder="1" applyAlignment="1">
      <alignment vertical="top"/>
    </xf>
    <xf numFmtId="11" fontId="1" fillId="0" borderId="40" xfId="0" applyNumberFormat="1" applyFont="1" applyFill="1" applyBorder="1" applyAlignment="1">
      <alignment vertical="top"/>
    </xf>
    <xf numFmtId="11" fontId="16" fillId="0" borderId="40" xfId="0" applyNumberFormat="1" applyFont="1" applyFill="1" applyBorder="1" applyAlignment="1">
      <alignment vertical="top"/>
    </xf>
    <xf numFmtId="0" fontId="6" fillId="0" borderId="42" xfId="15" applyBorder="1" applyAlignment="1">
      <alignment vertical="top"/>
    </xf>
    <xf numFmtId="0" fontId="11" fillId="0" borderId="43" xfId="0" applyFont="1" applyBorder="1" applyAlignment="1">
      <alignment vertical="top" wrapText="1"/>
    </xf>
    <xf numFmtId="0" fontId="11" fillId="5" borderId="42" xfId="0" applyFont="1" applyFill="1" applyBorder="1" applyAlignment="1">
      <alignment vertical="top" wrapText="1"/>
    </xf>
    <xf numFmtId="0" fontId="11" fillId="5" borderId="43" xfId="0" applyFont="1" applyFill="1" applyBorder="1" applyAlignment="1">
      <alignment vertical="top" wrapText="1"/>
    </xf>
    <xf numFmtId="11" fontId="11" fillId="0" borderId="40" xfId="0" applyNumberFormat="1" applyFont="1" applyFill="1" applyBorder="1" applyAlignment="1">
      <alignment vertical="top"/>
    </xf>
    <xf numFmtId="11" fontId="15" fillId="0" borderId="40" xfId="0" applyNumberFormat="1" applyFont="1" applyFill="1" applyBorder="1" applyAlignment="1">
      <alignment vertical="top"/>
    </xf>
    <xf numFmtId="0" fontId="11" fillId="0" borderId="9" xfId="0" applyFont="1" applyBorder="1" applyAlignment="1">
      <alignment vertical="top" wrapText="1"/>
    </xf>
    <xf numFmtId="0" fontId="1" fillId="0" borderId="10" xfId="0" applyFont="1" applyFill="1" applyBorder="1" applyAlignment="1">
      <alignment vertical="top"/>
    </xf>
    <xf numFmtId="0" fontId="1" fillId="0" borderId="9" xfId="0" applyFont="1" applyFill="1" applyBorder="1" applyAlignment="1">
      <alignment vertical="top"/>
    </xf>
    <xf numFmtId="0" fontId="1" fillId="0" borderId="11" xfId="0" applyFont="1" applyFill="1" applyBorder="1" applyAlignment="1">
      <alignment vertical="top"/>
    </xf>
    <xf numFmtId="0" fontId="11" fillId="0" borderId="29" xfId="0" applyFont="1" applyBorder="1" applyAlignment="1">
      <alignment vertical="top" wrapText="1"/>
    </xf>
    <xf numFmtId="11" fontId="15" fillId="0" borderId="30" xfId="0" applyNumberFormat="1" applyFont="1" applyBorder="1" applyAlignment="1">
      <alignment vertical="top"/>
    </xf>
    <xf numFmtId="0" fontId="11" fillId="0" borderId="10" xfId="0" applyFont="1" applyBorder="1" applyAlignment="1">
      <alignment vertical="top" wrapText="1"/>
    </xf>
    <xf numFmtId="0" fontId="1" fillId="0" borderId="11" xfId="0" applyFont="1" applyBorder="1" applyAlignment="1">
      <alignment vertical="top"/>
    </xf>
    <xf numFmtId="9" fontId="1" fillId="0" borderId="40" xfId="0" applyNumberFormat="1" applyFont="1" applyFill="1" applyBorder="1" applyAlignment="1">
      <alignment vertical="top"/>
    </xf>
    <xf numFmtId="11" fontId="15" fillId="0" borderId="40" xfId="0" applyNumberFormat="1" applyFont="1" applyBorder="1" applyAlignment="1">
      <alignment vertical="top"/>
    </xf>
    <xf numFmtId="0" fontId="11" fillId="0" borderId="29" xfId="0" applyFont="1" applyFill="1" applyBorder="1" applyAlignment="1">
      <alignment vertical="top" wrapText="1"/>
    </xf>
    <xf numFmtId="0" fontId="1" fillId="0" borderId="27" xfId="0" applyFont="1" applyFill="1" applyBorder="1" applyAlignment="1">
      <alignment vertical="top"/>
    </xf>
    <xf numFmtId="0" fontId="1" fillId="0" borderId="29" xfId="0" applyFont="1" applyFill="1" applyBorder="1" applyAlignment="1">
      <alignment vertical="top"/>
    </xf>
    <xf numFmtId="0" fontId="1" fillId="0" borderId="30" xfId="0" applyFont="1" applyFill="1" applyBorder="1" applyAlignment="1">
      <alignment vertical="top"/>
    </xf>
    <xf numFmtId="11" fontId="15" fillId="0" borderId="30" xfId="0" applyNumberFormat="1" applyFont="1" applyFill="1" applyBorder="1" applyAlignment="1">
      <alignment vertical="top"/>
    </xf>
    <xf numFmtId="1" fontId="11" fillId="0" borderId="11" xfId="0" applyNumberFormat="1" applyFont="1" applyBorder="1" applyAlignment="1">
      <alignment vertical="top"/>
    </xf>
    <xf numFmtId="0" fontId="19" fillId="0" borderId="25" xfId="0" applyFont="1" applyBorder="1" applyAlignment="1">
      <alignment/>
    </xf>
    <xf numFmtId="0" fontId="19" fillId="0" borderId="25" xfId="0" applyFont="1" applyBorder="1" applyAlignment="1">
      <alignment horizontal="right"/>
    </xf>
    <xf numFmtId="0" fontId="16" fillId="7" borderId="26" xfId="0" applyFont="1" applyFill="1" applyBorder="1" applyAlignment="1">
      <alignment vertical="top"/>
    </xf>
    <xf numFmtId="0" fontId="16" fillId="7" borderId="29" xfId="0" applyFont="1" applyFill="1" applyBorder="1" applyAlignment="1">
      <alignment vertical="top"/>
    </xf>
    <xf numFmtId="0" fontId="19" fillId="0" borderId="0" xfId="0" applyFont="1" applyBorder="1" applyAlignment="1">
      <alignment/>
    </xf>
    <xf numFmtId="0" fontId="20" fillId="0" borderId="26" xfId="0" applyFont="1" applyBorder="1" applyAlignment="1">
      <alignment/>
    </xf>
    <xf numFmtId="11" fontId="16" fillId="2" borderId="40" xfId="0" applyNumberFormat="1" applyFont="1" applyFill="1" applyBorder="1" applyAlignment="1">
      <alignment vertical="top"/>
    </xf>
    <xf numFmtId="1" fontId="16" fillId="0" borderId="10" xfId="0" applyNumberFormat="1" applyFont="1" applyBorder="1" applyAlignment="1">
      <alignment vertical="top"/>
    </xf>
    <xf numFmtId="9" fontId="1" fillId="0" borderId="43" xfId="0" applyNumberFormat="1" applyFont="1" applyBorder="1" applyAlignment="1">
      <alignment vertical="top"/>
    </xf>
    <xf numFmtId="184" fontId="1" fillId="0" borderId="43" xfId="0" applyNumberFormat="1" applyFont="1" applyBorder="1" applyAlignment="1">
      <alignment vertical="top"/>
    </xf>
    <xf numFmtId="184" fontId="1" fillId="0" borderId="29" xfId="0" applyNumberFormat="1" applyFont="1" applyBorder="1" applyAlignment="1">
      <alignment vertical="top"/>
    </xf>
    <xf numFmtId="184" fontId="11" fillId="0" borderId="40" xfId="0" applyNumberFormat="1" applyFont="1" applyFill="1" applyBorder="1" applyAlignment="1">
      <alignment vertical="top"/>
    </xf>
    <xf numFmtId="184" fontId="1" fillId="0" borderId="40" xfId="0" applyNumberFormat="1" applyFont="1" applyFill="1" applyBorder="1" applyAlignment="1">
      <alignment vertical="top"/>
    </xf>
    <xf numFmtId="0" fontId="21" fillId="0" borderId="9" xfId="15" applyFont="1" applyBorder="1" applyAlignment="1">
      <alignment vertical="top" wrapText="1"/>
    </xf>
    <xf numFmtId="0" fontId="11" fillId="0" borderId="0" xfId="0" applyFont="1" applyAlignment="1">
      <alignment vertical="top" wrapText="1"/>
    </xf>
    <xf numFmtId="0" fontId="18" fillId="5" borderId="42" xfId="0" applyFont="1" applyFill="1" applyBorder="1" applyAlignment="1">
      <alignment/>
    </xf>
    <xf numFmtId="0" fontId="16" fillId="5" borderId="0" xfId="0" applyFont="1" applyFill="1" applyBorder="1" applyAlignment="1">
      <alignment vertical="top"/>
    </xf>
    <xf numFmtId="0" fontId="16" fillId="5" borderId="43" xfId="0" applyFont="1" applyFill="1" applyBorder="1" applyAlignment="1">
      <alignment vertical="top"/>
    </xf>
    <xf numFmtId="0" fontId="1" fillId="0" borderId="26" xfId="0" applyFont="1" applyFill="1" applyBorder="1" applyAlignment="1">
      <alignment vertical="top"/>
    </xf>
    <xf numFmtId="11" fontId="1" fillId="0" borderId="0" xfId="0" applyNumberFormat="1" applyFont="1" applyBorder="1" applyAlignment="1">
      <alignment/>
    </xf>
    <xf numFmtId="0" fontId="22" fillId="0" borderId="0" xfId="0" applyFont="1" applyAlignment="1">
      <alignment/>
    </xf>
    <xf numFmtId="10" fontId="22" fillId="0" borderId="0" xfId="0" applyNumberFormat="1" applyFont="1" applyAlignment="1">
      <alignment/>
    </xf>
    <xf numFmtId="10" fontId="1" fillId="0" borderId="42" xfId="0" applyNumberFormat="1" applyFont="1" applyFill="1" applyBorder="1" applyAlignment="1">
      <alignment vertical="top"/>
    </xf>
    <xf numFmtId="10" fontId="1" fillId="0" borderId="0" xfId="0" applyNumberFormat="1" applyFont="1" applyFill="1" applyAlignment="1">
      <alignment vertical="top"/>
    </xf>
    <xf numFmtId="11" fontId="16" fillId="2" borderId="42" xfId="0" applyNumberFormat="1" applyFont="1" applyFill="1" applyBorder="1" applyAlignment="1">
      <alignment vertical="top"/>
    </xf>
    <xf numFmtId="11" fontId="16" fillId="2" borderId="0" xfId="0" applyNumberFormat="1" applyFont="1" applyFill="1" applyBorder="1" applyAlignment="1">
      <alignment vertical="top"/>
    </xf>
    <xf numFmtId="0" fontId="22" fillId="0" borderId="42" xfId="0" applyFont="1" applyBorder="1" applyAlignment="1">
      <alignment/>
    </xf>
    <xf numFmtId="0" fontId="15" fillId="0" borderId="42" xfId="0" applyFont="1" applyFill="1" applyBorder="1" applyAlignment="1">
      <alignment vertical="top" wrapText="1"/>
    </xf>
    <xf numFmtId="0" fontId="1" fillId="0" borderId="25" xfId="0" applyFont="1" applyBorder="1" applyAlignment="1">
      <alignment vertical="top" wrapText="1"/>
    </xf>
    <xf numFmtId="0" fontId="1" fillId="0" borderId="0" xfId="0" applyFont="1" applyBorder="1" applyAlignment="1">
      <alignment vertical="top" wrapText="1"/>
    </xf>
    <xf numFmtId="0" fontId="1" fillId="0" borderId="26" xfId="0" applyFont="1" applyBorder="1" applyAlignment="1">
      <alignment vertical="top" wrapText="1"/>
    </xf>
    <xf numFmtId="0" fontId="1" fillId="0" borderId="10" xfId="0" applyFont="1" applyBorder="1" applyAlignment="1">
      <alignment vertical="top" wrapText="1"/>
    </xf>
    <xf numFmtId="0" fontId="1" fillId="0" borderId="43" xfId="0" applyFont="1" applyBorder="1" applyAlignment="1">
      <alignment vertical="top" wrapText="1"/>
    </xf>
    <xf numFmtId="0" fontId="1" fillId="5" borderId="43" xfId="0" applyFont="1" applyFill="1" applyBorder="1" applyAlignment="1">
      <alignment vertical="top" wrapText="1"/>
    </xf>
    <xf numFmtId="0" fontId="1" fillId="0" borderId="43" xfId="0" applyFont="1" applyFill="1" applyBorder="1" applyAlignment="1">
      <alignment vertical="top" wrapText="1"/>
    </xf>
    <xf numFmtId="0" fontId="1" fillId="7" borderId="43" xfId="0" applyFont="1" applyFill="1" applyBorder="1" applyAlignment="1">
      <alignment vertical="top" wrapText="1"/>
    </xf>
    <xf numFmtId="0" fontId="1" fillId="0" borderId="10" xfId="0" applyFont="1" applyFill="1" applyBorder="1" applyAlignment="1">
      <alignment vertical="top" wrapText="1"/>
    </xf>
    <xf numFmtId="0" fontId="1" fillId="0" borderId="29" xfId="0" applyFont="1" applyBorder="1" applyAlignment="1">
      <alignment vertical="top" wrapText="1"/>
    </xf>
    <xf numFmtId="0" fontId="1" fillId="0" borderId="29" xfId="0" applyFont="1" applyFill="1" applyBorder="1" applyAlignment="1">
      <alignment vertical="top" wrapText="1"/>
    </xf>
    <xf numFmtId="0" fontId="1" fillId="0" borderId="0" xfId="0" applyFont="1" applyAlignment="1">
      <alignment vertical="top" wrapText="1"/>
    </xf>
    <xf numFmtId="0" fontId="5" fillId="0" borderId="9" xfId="0" applyFont="1" applyBorder="1" applyAlignment="1">
      <alignment vertical="top"/>
    </xf>
    <xf numFmtId="0" fontId="5" fillId="0" borderId="25" xfId="0" applyFont="1" applyBorder="1" applyAlignment="1">
      <alignment vertical="top" wrapText="1"/>
    </xf>
    <xf numFmtId="0" fontId="5" fillId="0" borderId="10" xfId="0" applyFont="1" applyBorder="1" applyAlignment="1">
      <alignment vertical="top"/>
    </xf>
    <xf numFmtId="0" fontId="23" fillId="0" borderId="42" xfId="0" applyFont="1" applyBorder="1" applyAlignment="1">
      <alignment vertical="top"/>
    </xf>
    <xf numFmtId="0" fontId="23" fillId="0" borderId="43" xfId="0" applyFont="1" applyBorder="1" applyAlignment="1">
      <alignment vertical="top" wrapText="1"/>
    </xf>
    <xf numFmtId="0" fontId="24" fillId="0" borderId="42" xfId="0" applyFont="1" applyFill="1" applyBorder="1" applyAlignment="1">
      <alignment horizontal="center" vertical="top" wrapText="1"/>
    </xf>
    <xf numFmtId="0" fontId="24" fillId="0" borderId="43"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3" fillId="0" borderId="0" xfId="0" applyFont="1" applyAlignment="1">
      <alignment vertical="top"/>
    </xf>
    <xf numFmtId="0" fontId="21" fillId="0" borderId="42" xfId="15" applyFont="1" applyBorder="1" applyAlignment="1">
      <alignment vertical="top"/>
    </xf>
    <xf numFmtId="0" fontId="25" fillId="0" borderId="42" xfId="0" applyFont="1" applyBorder="1" applyAlignment="1">
      <alignment/>
    </xf>
    <xf numFmtId="0" fontId="25" fillId="0" borderId="27" xfId="0" applyFont="1" applyBorder="1" applyAlignment="1">
      <alignment/>
    </xf>
    <xf numFmtId="0" fontId="25" fillId="0" borderId="9" xfId="0" applyFont="1" applyBorder="1" applyAlignment="1">
      <alignment/>
    </xf>
    <xf numFmtId="0" fontId="24" fillId="0" borderId="42" xfId="0" applyFont="1" applyFill="1" applyBorder="1" applyAlignment="1">
      <alignment vertical="top" wrapText="1"/>
    </xf>
    <xf numFmtId="0" fontId="24" fillId="0" borderId="40" xfId="0" applyFont="1" applyFill="1" applyBorder="1" applyAlignment="1">
      <alignment vertical="top" wrapText="1"/>
    </xf>
    <xf numFmtId="0" fontId="23" fillId="0" borderId="42" xfId="0" applyFont="1" applyBorder="1" applyAlignment="1">
      <alignment horizontal="center" vertical="top"/>
    </xf>
    <xf numFmtId="0" fontId="24" fillId="0" borderId="0" xfId="0" applyFont="1" applyBorder="1" applyAlignment="1">
      <alignment horizontal="center" vertical="top" wrapText="1"/>
    </xf>
    <xf numFmtId="11" fontId="15" fillId="5" borderId="42" xfId="0" applyNumberFormat="1" applyFont="1" applyFill="1" applyBorder="1" applyAlignment="1">
      <alignment vertical="top"/>
    </xf>
    <xf numFmtId="11" fontId="16" fillId="5" borderId="42" xfId="0" applyNumberFormat="1" applyFont="1" applyFill="1" applyBorder="1" applyAlignment="1">
      <alignment vertical="top"/>
    </xf>
    <xf numFmtId="0" fontId="26" fillId="0" borderId="9" xfId="0" applyFont="1" applyBorder="1" applyAlignment="1">
      <alignment vertical="top"/>
    </xf>
    <xf numFmtId="0" fontId="26" fillId="0" borderId="10" xfId="0" applyFont="1" applyBorder="1" applyAlignment="1">
      <alignment vertical="top" wrapText="1"/>
    </xf>
    <xf numFmtId="0" fontId="26" fillId="0" borderId="11" xfId="0" applyFont="1" applyBorder="1" applyAlignment="1">
      <alignment horizontal="center" vertical="top"/>
    </xf>
    <xf numFmtId="0" fontId="27" fillId="0" borderId="11" xfId="0" applyFont="1" applyFill="1" applyBorder="1" applyAlignment="1">
      <alignment horizontal="center" vertical="top" wrapText="1"/>
    </xf>
    <xf numFmtId="0" fontId="23" fillId="0" borderId="40" xfId="0" applyFont="1" applyBorder="1" applyAlignment="1">
      <alignment horizontal="center" vertical="top"/>
    </xf>
    <xf numFmtId="0" fontId="23" fillId="0" borderId="40" xfId="0" applyFont="1" applyBorder="1" applyAlignment="1">
      <alignment vertical="top"/>
    </xf>
    <xf numFmtId="0" fontId="23" fillId="0" borderId="0" xfId="0" applyFont="1" applyBorder="1" applyAlignment="1">
      <alignment vertical="top"/>
    </xf>
    <xf numFmtId="0" fontId="23" fillId="0" borderId="43" xfId="0" applyFont="1" applyBorder="1" applyAlignment="1">
      <alignment vertical="top"/>
    </xf>
    <xf numFmtId="0" fontId="23" fillId="0" borderId="0" xfId="0" applyFont="1" applyAlignment="1">
      <alignment vertical="top" wrapText="1"/>
    </xf>
    <xf numFmtId="0" fontId="28" fillId="0" borderId="0" xfId="15" applyFont="1" applyBorder="1" applyAlignment="1">
      <alignment vertical="top"/>
    </xf>
    <xf numFmtId="0" fontId="28" fillId="0" borderId="43" xfId="15" applyFont="1" applyBorder="1" applyAlignment="1">
      <alignment vertical="top"/>
    </xf>
    <xf numFmtId="0" fontId="1" fillId="5" borderId="0" xfId="0" applyFont="1" applyFill="1" applyAlignment="1">
      <alignment vertical="top" wrapText="1"/>
    </xf>
    <xf numFmtId="0" fontId="22" fillId="0" borderId="0" xfId="0" applyFont="1" applyBorder="1" applyAlignment="1">
      <alignment/>
    </xf>
    <xf numFmtId="10" fontId="1" fillId="0" borderId="0" xfId="0" applyNumberFormat="1" applyFont="1" applyFill="1" applyBorder="1" applyAlignment="1">
      <alignment vertical="top"/>
    </xf>
    <xf numFmtId="0" fontId="23" fillId="0" borderId="11" xfId="0" applyFont="1" applyBorder="1" applyAlignment="1">
      <alignment horizontal="center" vertical="top"/>
    </xf>
    <xf numFmtId="0" fontId="28" fillId="0" borderId="40" xfId="15" applyFont="1" applyBorder="1" applyAlignment="1">
      <alignment horizontal="center" vertical="top"/>
    </xf>
    <xf numFmtId="11" fontId="16" fillId="0" borderId="30" xfId="0" applyNumberFormat="1" applyFont="1" applyBorder="1" applyAlignment="1">
      <alignment vertical="top"/>
    </xf>
    <xf numFmtId="0" fontId="1" fillId="0" borderId="1" xfId="0" applyFont="1" applyBorder="1" applyAlignment="1">
      <alignment vertical="top"/>
    </xf>
    <xf numFmtId="0" fontId="1" fillId="0" borderId="1" xfId="18" applyFont="1" applyFill="1" applyBorder="1" applyAlignment="1">
      <alignment vertical="top" wrapText="1"/>
      <protection/>
    </xf>
    <xf numFmtId="0" fontId="1" fillId="0" borderId="1" xfId="18" applyFont="1" applyBorder="1" applyAlignment="1">
      <alignment vertical="top"/>
      <protection/>
    </xf>
    <xf numFmtId="0" fontId="1" fillId="7" borderId="1" xfId="18" applyFont="1" applyFill="1" applyBorder="1" applyAlignment="1">
      <alignment vertical="top"/>
      <protection/>
    </xf>
    <xf numFmtId="9" fontId="1" fillId="0" borderId="1" xfId="18" applyNumberFormat="1" applyFont="1" applyBorder="1" applyAlignment="1">
      <alignment vertical="top"/>
      <protection/>
    </xf>
    <xf numFmtId="0" fontId="1" fillId="0" borderId="1" xfId="18" applyFont="1" applyFill="1" applyBorder="1" applyAlignment="1">
      <alignment vertical="top"/>
      <protection/>
    </xf>
    <xf numFmtId="9" fontId="1" fillId="0" borderId="1" xfId="18" applyNumberFormat="1" applyFont="1" applyFill="1" applyBorder="1" applyAlignment="1">
      <alignment vertical="top"/>
      <protection/>
    </xf>
    <xf numFmtId="0" fontId="16" fillId="0" borderId="1" xfId="18" applyFont="1" applyBorder="1" applyAlignment="1">
      <alignment vertical="top"/>
      <protection/>
    </xf>
    <xf numFmtId="1" fontId="16" fillId="0" borderId="1" xfId="18" applyNumberFormat="1" applyFont="1" applyBorder="1" applyAlignment="1">
      <alignment vertical="top"/>
      <protection/>
    </xf>
    <xf numFmtId="0" fontId="16" fillId="0" borderId="1" xfId="18" applyFont="1" applyFill="1" applyBorder="1" applyAlignment="1">
      <alignment vertical="top"/>
      <protection/>
    </xf>
    <xf numFmtId="11" fontId="1" fillId="2" borderId="1" xfId="18" applyNumberFormat="1" applyFont="1" applyFill="1" applyBorder="1" applyAlignment="1">
      <alignment vertical="top"/>
      <protection/>
    </xf>
    <xf numFmtId="11" fontId="16" fillId="0" borderId="1" xfId="18" applyNumberFormat="1" applyFont="1" applyBorder="1" applyAlignment="1">
      <alignment vertical="top"/>
      <protection/>
    </xf>
    <xf numFmtId="0" fontId="1" fillId="2" borderId="1" xfId="18" applyFont="1" applyFill="1" applyBorder="1" applyAlignment="1">
      <alignment vertical="top"/>
      <protection/>
    </xf>
    <xf numFmtId="11" fontId="16" fillId="2" borderId="1" xfId="18" applyNumberFormat="1" applyFont="1" applyFill="1" applyBorder="1" applyAlignment="1">
      <alignment vertical="top"/>
      <protection/>
    </xf>
    <xf numFmtId="9" fontId="16" fillId="2" borderId="1" xfId="18" applyNumberFormat="1" applyFont="1" applyFill="1" applyBorder="1" applyAlignment="1">
      <alignment vertical="top"/>
      <protection/>
    </xf>
    <xf numFmtId="2" fontId="1" fillId="2" borderId="1" xfId="18" applyNumberFormat="1" applyFont="1" applyFill="1" applyBorder="1" applyAlignment="1">
      <alignment vertical="top"/>
      <protection/>
    </xf>
    <xf numFmtId="0" fontId="1" fillId="0" borderId="0" xfId="18" applyFont="1" applyBorder="1" applyAlignment="1">
      <alignment vertical="top"/>
      <protection/>
    </xf>
    <xf numFmtId="11" fontId="1" fillId="0" borderId="1" xfId="18" applyNumberFormat="1" applyFont="1" applyFill="1" applyBorder="1" applyAlignment="1">
      <alignment vertical="top"/>
      <protection/>
    </xf>
    <xf numFmtId="0" fontId="21" fillId="0" borderId="1" xfId="15" applyFont="1" applyBorder="1" applyAlignment="1">
      <alignment vertical="top"/>
    </xf>
    <xf numFmtId="10" fontId="1" fillId="0" borderId="1" xfId="18" applyNumberFormat="1" applyFont="1" applyFill="1" applyBorder="1" applyAlignment="1">
      <alignment vertical="top"/>
      <protection/>
    </xf>
    <xf numFmtId="0" fontId="16" fillId="0" borderId="1" xfId="0" applyFont="1" applyBorder="1" applyAlignment="1">
      <alignment vertical="top"/>
    </xf>
    <xf numFmtId="10" fontId="16" fillId="0" borderId="1" xfId="18" applyNumberFormat="1" applyFont="1" applyFill="1" applyBorder="1" applyAlignment="1">
      <alignment vertical="top"/>
      <protection/>
    </xf>
    <xf numFmtId="0" fontId="5"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3" xfId="18" applyFont="1" applyBorder="1" applyAlignment="1">
      <alignment vertical="top"/>
      <protection/>
    </xf>
    <xf numFmtId="0" fontId="1" fillId="0" borderId="4" xfId="18" applyFont="1" applyBorder="1" applyAlignment="1">
      <alignment vertical="top"/>
      <protection/>
    </xf>
    <xf numFmtId="0" fontId="1" fillId="0" borderId="3" xfId="18" applyFont="1" applyFill="1" applyBorder="1" applyAlignment="1">
      <alignment vertical="top" wrapText="1"/>
      <protection/>
    </xf>
    <xf numFmtId="0" fontId="1" fillId="0" borderId="5" xfId="18" applyFont="1" applyBorder="1" applyAlignment="1">
      <alignment vertical="top"/>
      <protection/>
    </xf>
    <xf numFmtId="10" fontId="16" fillId="0" borderId="39" xfId="18" applyNumberFormat="1" applyFont="1" applyBorder="1" applyAlignment="1">
      <alignment vertical="top"/>
      <protection/>
    </xf>
    <xf numFmtId="0" fontId="1" fillId="0" borderId="39" xfId="18" applyFont="1" applyBorder="1" applyAlignment="1">
      <alignment vertical="top"/>
      <protection/>
    </xf>
    <xf numFmtId="0" fontId="1" fillId="0" borderId="6" xfId="18" applyFont="1" applyBorder="1" applyAlignment="1">
      <alignment vertical="top"/>
      <protection/>
    </xf>
    <xf numFmtId="0" fontId="5" fillId="0" borderId="36" xfId="18" applyFont="1" applyBorder="1" applyAlignment="1">
      <alignment vertical="top"/>
      <protection/>
    </xf>
    <xf numFmtId="11" fontId="16" fillId="0" borderId="37" xfId="18" applyNumberFormat="1" applyFont="1" applyBorder="1" applyAlignment="1">
      <alignment vertical="top"/>
      <protection/>
    </xf>
    <xf numFmtId="0" fontId="1" fillId="0" borderId="37" xfId="18" applyFont="1" applyBorder="1" applyAlignment="1">
      <alignment vertical="top"/>
      <protection/>
    </xf>
    <xf numFmtId="0" fontId="1" fillId="0" borderId="41" xfId="18" applyFont="1" applyBorder="1" applyAlignment="1">
      <alignment vertical="top"/>
      <protection/>
    </xf>
    <xf numFmtId="11" fontId="16" fillId="0" borderId="0" xfId="18" applyNumberFormat="1" applyFont="1" applyBorder="1" applyAlignment="1">
      <alignment vertical="top"/>
      <protection/>
    </xf>
    <xf numFmtId="0" fontId="5" fillId="0" borderId="36" xfId="0" applyFont="1" applyBorder="1" applyAlignment="1">
      <alignment vertical="top"/>
    </xf>
    <xf numFmtId="0" fontId="5" fillId="0" borderId="37" xfId="0" applyFont="1" applyBorder="1" applyAlignment="1">
      <alignment vertical="top"/>
    </xf>
    <xf numFmtId="0" fontId="5" fillId="0" borderId="41" xfId="0" applyFont="1" applyBorder="1" applyAlignment="1">
      <alignment vertical="top"/>
    </xf>
    <xf numFmtId="0" fontId="1" fillId="0" borderId="3" xfId="18" applyFont="1" applyFill="1" applyBorder="1" applyAlignment="1">
      <alignment vertical="top"/>
      <protection/>
    </xf>
    <xf numFmtId="0" fontId="1" fillId="0" borderId="4" xfId="18" applyFont="1" applyFill="1" applyBorder="1" applyAlignment="1">
      <alignment vertical="top"/>
      <protection/>
    </xf>
    <xf numFmtId="11" fontId="16" fillId="0" borderId="39" xfId="18" applyNumberFormat="1" applyFont="1" applyBorder="1" applyAlignment="1">
      <alignment vertical="top"/>
      <protection/>
    </xf>
    <xf numFmtId="0" fontId="1" fillId="0" borderId="20" xfId="0" applyFont="1" applyBorder="1" applyAlignment="1">
      <alignment vertical="top"/>
    </xf>
    <xf numFmtId="0" fontId="1" fillId="0" borderId="21" xfId="0" applyFont="1" applyBorder="1" applyAlignment="1">
      <alignment vertical="top"/>
    </xf>
    <xf numFmtId="0" fontId="29" fillId="0" borderId="3" xfId="0" applyFont="1" applyBorder="1" applyAlignment="1">
      <alignment/>
    </xf>
    <xf numFmtId="0" fontId="1" fillId="0" borderId="4" xfId="0" applyFont="1" applyBorder="1" applyAlignment="1">
      <alignment vertical="top"/>
    </xf>
    <xf numFmtId="0" fontId="1" fillId="0" borderId="3" xfId="0" applyFont="1" applyBorder="1" applyAlignment="1">
      <alignment vertical="top"/>
    </xf>
    <xf numFmtId="0" fontId="1" fillId="0" borderId="5" xfId="0" applyFont="1" applyBorder="1" applyAlignment="1">
      <alignment vertical="top"/>
    </xf>
    <xf numFmtId="10" fontId="16" fillId="0" borderId="39" xfId="18" applyNumberFormat="1" applyFont="1" applyFill="1" applyBorder="1" applyAlignment="1">
      <alignment vertical="top"/>
      <protection/>
    </xf>
    <xf numFmtId="0" fontId="1" fillId="0" borderId="39" xfId="0" applyFont="1" applyBorder="1" applyAlignment="1">
      <alignment vertical="top"/>
    </xf>
    <xf numFmtId="0" fontId="1" fillId="0" borderId="6" xfId="0" applyFont="1" applyBorder="1" applyAlignment="1">
      <alignment vertical="top"/>
    </xf>
    <xf numFmtId="183" fontId="1" fillId="0" borderId="1" xfId="0" applyNumberFormat="1" applyFont="1" applyBorder="1" applyAlignment="1">
      <alignment vertical="top"/>
    </xf>
    <xf numFmtId="2" fontId="16" fillId="0" borderId="1" xfId="0" applyNumberFormat="1" applyFont="1" applyBorder="1" applyAlignment="1">
      <alignment vertical="top"/>
    </xf>
    <xf numFmtId="0" fontId="29" fillId="0" borderId="1" xfId="0" applyFont="1" applyBorder="1" applyAlignment="1">
      <alignment horizontal="center" vertical="top" wrapText="1"/>
    </xf>
    <xf numFmtId="0" fontId="29" fillId="0" borderId="3" xfId="0" applyFont="1" applyBorder="1" applyAlignment="1">
      <alignment vertical="top" wrapText="1"/>
    </xf>
    <xf numFmtId="0" fontId="1" fillId="0" borderId="42" xfId="0" applyFont="1" applyBorder="1" applyAlignment="1">
      <alignment horizontal="center" vertical="top"/>
    </xf>
    <xf numFmtId="0" fontId="1" fillId="0" borderId="43" xfId="0" applyFont="1" applyBorder="1" applyAlignment="1">
      <alignment horizontal="center" vertical="top"/>
    </xf>
    <xf numFmtId="0" fontId="2" fillId="8" borderId="4" xfId="0" applyFont="1" applyFill="1" applyBorder="1" applyAlignment="1">
      <alignment horizontal="center"/>
    </xf>
    <xf numFmtId="0" fontId="2" fillId="8" borderId="38" xfId="0" applyFont="1" applyFill="1" applyBorder="1" applyAlignment="1">
      <alignment horizontal="center"/>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vertical="top"/>
    </xf>
    <xf numFmtId="1" fontId="1" fillId="0" borderId="0" xfId="0" applyNumberFormat="1" applyFont="1" applyAlignment="1">
      <alignment vertical="top"/>
    </xf>
    <xf numFmtId="184" fontId="1" fillId="0" borderId="0" xfId="0" applyNumberFormat="1" applyFont="1" applyBorder="1" applyAlignment="1">
      <alignment vertical="top"/>
    </xf>
    <xf numFmtId="0" fontId="1" fillId="0" borderId="0" xfId="0" applyFont="1" applyBorder="1" applyAlignment="1">
      <alignment horizontal="right" vertical="top"/>
    </xf>
    <xf numFmtId="183" fontId="1" fillId="0" borderId="0" xfId="0" applyNumberFormat="1" applyFont="1" applyBorder="1" applyAlignment="1">
      <alignment vertical="top"/>
    </xf>
    <xf numFmtId="0" fontId="1" fillId="0" borderId="0" xfId="0" applyFont="1" applyAlignment="1">
      <alignment horizontal="center" vertical="top"/>
    </xf>
    <xf numFmtId="175" fontId="1" fillId="0" borderId="0" xfId="0" applyNumberFormat="1" applyFont="1" applyBorder="1" applyAlignment="1">
      <alignment vertical="top"/>
    </xf>
    <xf numFmtId="184" fontId="1" fillId="0" borderId="25" xfId="0" applyNumberFormat="1" applyFont="1" applyBorder="1" applyAlignment="1">
      <alignment vertical="top"/>
    </xf>
    <xf numFmtId="184" fontId="1" fillId="0" borderId="26" xfId="0" applyNumberFormat="1" applyFont="1" applyBorder="1" applyAlignment="1">
      <alignment vertical="top"/>
    </xf>
    <xf numFmtId="0" fontId="1" fillId="0" borderId="7" xfId="0" applyFont="1" applyBorder="1" applyAlignment="1">
      <alignment vertical="top"/>
    </xf>
    <xf numFmtId="0" fontId="1" fillId="0" borderId="44" xfId="0" applyFont="1" applyBorder="1" applyAlignment="1">
      <alignment vertical="top"/>
    </xf>
    <xf numFmtId="9" fontId="1" fillId="0" borderId="44" xfId="0" applyNumberFormat="1" applyFont="1" applyBorder="1" applyAlignment="1">
      <alignment vertical="top"/>
    </xf>
    <xf numFmtId="183" fontId="1" fillId="0" borderId="44" xfId="0" applyNumberFormat="1" applyFont="1" applyBorder="1" applyAlignment="1">
      <alignment vertical="top"/>
    </xf>
    <xf numFmtId="0" fontId="1" fillId="0" borderId="44" xfId="0" applyFont="1" applyBorder="1" applyAlignment="1">
      <alignment horizontal="left" vertical="top" wrapText="1"/>
    </xf>
    <xf numFmtId="0" fontId="1" fillId="0" borderId="2" xfId="0" applyFont="1" applyBorder="1" applyAlignment="1">
      <alignment horizontal="right" vertical="top"/>
    </xf>
    <xf numFmtId="175" fontId="1" fillId="0" borderId="44" xfId="0" applyNumberFormat="1" applyFont="1" applyBorder="1" applyAlignment="1">
      <alignment vertical="top"/>
    </xf>
    <xf numFmtId="0" fontId="1" fillId="0" borderId="10"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right" vertical="top"/>
    </xf>
    <xf numFmtId="0" fontId="1" fillId="0" borderId="9" xfId="0" applyFont="1" applyBorder="1" applyAlignment="1">
      <alignment horizontal="left" vertical="top" wrapText="1"/>
    </xf>
    <xf numFmtId="0" fontId="1" fillId="0" borderId="42" xfId="0" applyFont="1" applyBorder="1" applyAlignment="1">
      <alignment horizontal="left" vertical="top" wrapText="1"/>
    </xf>
    <xf numFmtId="0" fontId="1" fillId="0" borderId="27" xfId="0" applyFont="1" applyBorder="1" applyAlignment="1">
      <alignment horizontal="left" vertical="top" wrapText="1"/>
    </xf>
    <xf numFmtId="183" fontId="1" fillId="0" borderId="0" xfId="0" applyNumberFormat="1" applyFont="1" applyBorder="1" applyAlignment="1">
      <alignment horizontal="left" vertical="top"/>
    </xf>
    <xf numFmtId="183" fontId="1" fillId="0" borderId="25" xfId="0" applyNumberFormat="1" applyFont="1" applyBorder="1" applyAlignment="1">
      <alignment horizontal="left" vertical="top"/>
    </xf>
    <xf numFmtId="0" fontId="5" fillId="0" borderId="0" xfId="0" applyFont="1" applyAlignment="1">
      <alignment horizontal="center" vertical="top"/>
    </xf>
    <xf numFmtId="0" fontId="5" fillId="0" borderId="0" xfId="0" applyFont="1" applyAlignment="1">
      <alignment horizontal="right" vertical="top"/>
    </xf>
    <xf numFmtId="0" fontId="1" fillId="0" borderId="44" xfId="0" applyFont="1" applyBorder="1" applyAlignment="1">
      <alignment horizontal="right" vertical="top" wrapText="1"/>
    </xf>
    <xf numFmtId="0" fontId="16" fillId="0" borderId="0" xfId="0" applyFont="1" applyAlignment="1">
      <alignment horizontal="center" vertical="top"/>
    </xf>
    <xf numFmtId="183" fontId="16" fillId="0" borderId="25" xfId="0" applyNumberFormat="1" applyFont="1" applyBorder="1" applyAlignment="1">
      <alignment vertical="top"/>
    </xf>
    <xf numFmtId="183" fontId="16" fillId="0" borderId="0" xfId="0" applyNumberFormat="1" applyFont="1" applyBorder="1" applyAlignment="1">
      <alignment vertical="top"/>
    </xf>
    <xf numFmtId="183" fontId="16" fillId="0" borderId="26" xfId="0" applyNumberFormat="1" applyFont="1" applyBorder="1" applyAlignment="1">
      <alignment vertical="top"/>
    </xf>
    <xf numFmtId="183" fontId="16" fillId="0" borderId="44" xfId="0" applyNumberFormat="1" applyFont="1" applyBorder="1" applyAlignment="1">
      <alignment vertical="top"/>
    </xf>
    <xf numFmtId="0" fontId="16" fillId="0" borderId="0" xfId="0" applyFont="1" applyAlignment="1">
      <alignment vertical="top"/>
    </xf>
    <xf numFmtId="0" fontId="16" fillId="0" borderId="25" xfId="0" applyFont="1" applyBorder="1" applyAlignment="1">
      <alignment vertical="top"/>
    </xf>
    <xf numFmtId="2" fontId="16" fillId="0" borderId="0" xfId="0" applyNumberFormat="1" applyFont="1" applyBorder="1" applyAlignment="1">
      <alignment vertical="top"/>
    </xf>
    <xf numFmtId="174" fontId="16" fillId="0" borderId="0" xfId="0" applyNumberFormat="1" applyFont="1" applyBorder="1" applyAlignment="1">
      <alignment vertical="top"/>
    </xf>
    <xf numFmtId="174" fontId="16" fillId="0" borderId="25" xfId="0" applyNumberFormat="1" applyFont="1" applyBorder="1" applyAlignment="1">
      <alignment vertical="top"/>
    </xf>
    <xf numFmtId="174" fontId="16" fillId="0" borderId="26" xfId="0" applyNumberFormat="1" applyFont="1" applyBorder="1" applyAlignment="1">
      <alignment vertical="top"/>
    </xf>
    <xf numFmtId="174" fontId="16" fillId="0" borderId="44" xfId="0" applyNumberFormat="1" applyFont="1" applyBorder="1" applyAlignment="1">
      <alignment vertical="top"/>
    </xf>
    <xf numFmtId="2" fontId="32" fillId="0" borderId="26" xfId="0" applyNumberFormat="1" applyFont="1" applyBorder="1" applyAlignment="1">
      <alignment vertical="top"/>
    </xf>
    <xf numFmtId="174" fontId="32" fillId="0" borderId="26" xfId="0" applyNumberFormat="1" applyFont="1" applyBorder="1" applyAlignment="1">
      <alignment vertical="top"/>
    </xf>
    <xf numFmtId="184" fontId="16" fillId="0" borderId="0" xfId="0" applyNumberFormat="1" applyFont="1" applyBorder="1" applyAlignment="1">
      <alignment vertical="top"/>
    </xf>
    <xf numFmtId="175" fontId="16" fillId="0" borderId="44" xfId="0" applyNumberFormat="1" applyFont="1" applyBorder="1" applyAlignment="1">
      <alignment vertical="top"/>
    </xf>
    <xf numFmtId="0" fontId="1" fillId="5" borderId="0" xfId="0" applyFont="1" applyFill="1" applyAlignment="1">
      <alignment horizontal="right" vertical="top"/>
    </xf>
    <xf numFmtId="0" fontId="16" fillId="5" borderId="0" xfId="0" applyFont="1" applyFill="1" applyAlignment="1">
      <alignment vertical="top"/>
    </xf>
    <xf numFmtId="174" fontId="16" fillId="5" borderId="0" xfId="0" applyNumberFormat="1" applyFont="1" applyFill="1" applyBorder="1" applyAlignment="1">
      <alignment vertical="top"/>
    </xf>
    <xf numFmtId="0" fontId="1" fillId="0" borderId="29" xfId="0" applyFont="1" applyBorder="1" applyAlignment="1">
      <alignment horizontal="left" vertical="top" wrapText="1"/>
    </xf>
    <xf numFmtId="0" fontId="1" fillId="0" borderId="0" xfId="0" applyFont="1" applyAlignment="1">
      <alignment/>
    </xf>
    <xf numFmtId="0" fontId="6" fillId="0" borderId="0" xfId="15" applyAlignment="1">
      <alignment/>
    </xf>
    <xf numFmtId="0" fontId="1" fillId="0" borderId="42" xfId="0" applyFont="1" applyFill="1" applyBorder="1" applyAlignment="1">
      <alignment vertical="top" wrapText="1"/>
    </xf>
    <xf numFmtId="0" fontId="33" fillId="0" borderId="0" xfId="0" applyFont="1" applyAlignment="1">
      <alignment/>
    </xf>
    <xf numFmtId="0" fontId="6" fillId="0" borderId="43" xfId="15" applyFill="1" applyBorder="1" applyAlignment="1">
      <alignment vertical="top" wrapText="1"/>
    </xf>
    <xf numFmtId="0" fontId="2" fillId="0" borderId="0" xfId="0" applyFont="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vertical="top"/>
    </xf>
    <xf numFmtId="0" fontId="6" fillId="0" borderId="0" xfId="15" applyAlignment="1">
      <alignment horizontal="center" wrapText="1"/>
    </xf>
    <xf numFmtId="11" fontId="1" fillId="2" borderId="43" xfId="0" applyNumberFormat="1" applyFont="1" applyFill="1" applyBorder="1" applyAlignment="1">
      <alignment vertical="top"/>
    </xf>
    <xf numFmtId="11" fontId="0" fillId="9" borderId="0" xfId="0" applyNumberFormat="1" applyFill="1" applyAlignment="1">
      <alignment/>
    </xf>
    <xf numFmtId="2" fontId="11" fillId="9" borderId="43" xfId="0" applyNumberFormat="1" applyFont="1" applyFill="1" applyBorder="1" applyAlignment="1">
      <alignment vertical="top" wrapText="1"/>
    </xf>
    <xf numFmtId="11" fontId="0" fillId="2" borderId="0" xfId="0" applyNumberFormat="1" applyFill="1" applyAlignment="1">
      <alignment/>
    </xf>
    <xf numFmtId="0" fontId="11" fillId="0" borderId="17" xfId="0" applyFont="1" applyBorder="1" applyAlignment="1">
      <alignment vertical="top"/>
    </xf>
    <xf numFmtId="0" fontId="11" fillId="0" borderId="18" xfId="0" applyFont="1" applyBorder="1" applyAlignment="1">
      <alignment vertical="top" wrapText="1"/>
    </xf>
    <xf numFmtId="11" fontId="16" fillId="0" borderId="19" xfId="0" applyNumberFormat="1" applyFont="1" applyBorder="1" applyAlignment="1">
      <alignment/>
    </xf>
    <xf numFmtId="0" fontId="11" fillId="0" borderId="20" xfId="0" applyFont="1" applyBorder="1" applyAlignment="1">
      <alignment vertical="top"/>
    </xf>
    <xf numFmtId="11" fontId="16" fillId="0" borderId="21" xfId="0" applyNumberFormat="1" applyFont="1" applyBorder="1" applyAlignment="1">
      <alignment vertical="top"/>
    </xf>
    <xf numFmtId="0" fontId="11" fillId="0" borderId="22" xfId="0" applyFont="1" applyBorder="1" applyAlignment="1">
      <alignment vertical="top"/>
    </xf>
    <xf numFmtId="0" fontId="11" fillId="0" borderId="23" xfId="0" applyFont="1" applyBorder="1" applyAlignment="1">
      <alignment vertical="top" wrapText="1"/>
    </xf>
    <xf numFmtId="11" fontId="16" fillId="2" borderId="24" xfId="0" applyNumberFormat="1" applyFont="1" applyFill="1" applyBorder="1" applyAlignment="1">
      <alignment vertical="top"/>
    </xf>
    <xf numFmtId="0" fontId="1" fillId="0" borderId="19" xfId="0" applyFont="1" applyBorder="1" applyAlignment="1">
      <alignment/>
    </xf>
    <xf numFmtId="0" fontId="1" fillId="0" borderId="21" xfId="0" applyFont="1" applyBorder="1" applyAlignment="1">
      <alignment/>
    </xf>
    <xf numFmtId="0" fontId="16" fillId="0" borderId="21" xfId="0" applyFont="1" applyBorder="1" applyAlignment="1">
      <alignment/>
    </xf>
    <xf numFmtId="11" fontId="16" fillId="0" borderId="24" xfId="0" applyNumberFormat="1" applyFont="1" applyBorder="1" applyAlignment="1">
      <alignment/>
    </xf>
    <xf numFmtId="11" fontId="10" fillId="0" borderId="1" xfId="0" applyNumberFormat="1" applyFont="1" applyFill="1" applyBorder="1" applyAlignment="1">
      <alignment vertical="top"/>
    </xf>
    <xf numFmtId="11" fontId="8" fillId="0" borderId="0" xfId="0" applyNumberFormat="1" applyFont="1" applyAlignment="1">
      <alignment vertical="top"/>
    </xf>
    <xf numFmtId="11" fontId="8" fillId="0" borderId="1" xfId="0" applyNumberFormat="1" applyFont="1" applyFill="1" applyBorder="1" applyAlignment="1">
      <alignment vertical="top"/>
    </xf>
    <xf numFmtId="2" fontId="10" fillId="0" borderId="1" xfId="0" applyNumberFormat="1" applyFont="1" applyFill="1" applyBorder="1" applyAlignment="1">
      <alignment vertical="top"/>
    </xf>
    <xf numFmtId="0" fontId="10" fillId="6" borderId="1" xfId="0" applyFont="1" applyFill="1" applyBorder="1" applyAlignment="1">
      <alignment vertical="top"/>
    </xf>
    <xf numFmtId="2" fontId="8" fillId="0" borderId="0" xfId="0" applyNumberFormat="1" applyFont="1" applyAlignment="1">
      <alignment vertical="top"/>
    </xf>
    <xf numFmtId="183" fontId="10" fillId="0" borderId="1" xfId="0" applyNumberFormat="1" applyFont="1" applyFill="1" applyBorder="1" applyAlignment="1">
      <alignment vertical="top"/>
    </xf>
    <xf numFmtId="10" fontId="10" fillId="0" borderId="1" xfId="0" applyNumberFormat="1" applyFont="1" applyFill="1" applyBorder="1" applyAlignment="1">
      <alignment vertical="top"/>
    </xf>
    <xf numFmtId="0" fontId="21" fillId="0" borderId="42" xfId="15" applyFont="1" applyBorder="1" applyAlignment="1">
      <alignment horizontal="left" vertical="top"/>
    </xf>
    <xf numFmtId="0" fontId="32" fillId="0" borderId="0" xfId="0" applyFont="1" applyAlignment="1">
      <alignment horizontal="center" vertical="top"/>
    </xf>
    <xf numFmtId="0" fontId="16" fillId="0" borderId="0" xfId="0" applyFont="1" applyBorder="1" applyAlignment="1">
      <alignment horizontal="center" vertical="top"/>
    </xf>
    <xf numFmtId="10" fontId="16" fillId="0" borderId="25" xfId="0" applyNumberFormat="1" applyFont="1" applyBorder="1" applyAlignment="1">
      <alignment vertical="top"/>
    </xf>
    <xf numFmtId="0" fontId="32" fillId="0" borderId="26" xfId="0" applyFont="1" applyBorder="1" applyAlignment="1">
      <alignment vertical="top"/>
    </xf>
    <xf numFmtId="10" fontId="16" fillId="0" borderId="0" xfId="0" applyNumberFormat="1" applyFont="1" applyBorder="1" applyAlignment="1">
      <alignment vertical="top"/>
    </xf>
    <xf numFmtId="10" fontId="16" fillId="0" borderId="44" xfId="0" applyNumberFormat="1" applyFont="1" applyBorder="1" applyAlignment="1">
      <alignment vertical="top"/>
    </xf>
    <xf numFmtId="10" fontId="16" fillId="0" borderId="26" xfId="0" applyNumberFormat="1" applyFont="1" applyBorder="1" applyAlignment="1">
      <alignment vertical="top"/>
    </xf>
    <xf numFmtId="184" fontId="16" fillId="0" borderId="25" xfId="0" applyNumberFormat="1" applyFont="1" applyBorder="1" applyAlignment="1">
      <alignment vertical="top"/>
    </xf>
    <xf numFmtId="184" fontId="16" fillId="0" borderId="26" xfId="0" applyNumberFormat="1" applyFont="1" applyBorder="1" applyAlignment="1">
      <alignment vertical="top"/>
    </xf>
    <xf numFmtId="175" fontId="16" fillId="0" borderId="0" xfId="0" applyNumberFormat="1" applyFont="1" applyBorder="1" applyAlignment="1">
      <alignment vertical="top"/>
    </xf>
    <xf numFmtId="0" fontId="1" fillId="0" borderId="20" xfId="0" applyFont="1" applyBorder="1" applyAlignment="1">
      <alignment horizontal="center" vertical="top" wrapText="1"/>
    </xf>
    <xf numFmtId="0" fontId="1" fillId="0" borderId="31" xfId="0" applyFont="1" applyBorder="1" applyAlignment="1">
      <alignment horizontal="right" vertical="top" wrapText="1"/>
    </xf>
    <xf numFmtId="184" fontId="1" fillId="0" borderId="32" xfId="0" applyNumberFormat="1" applyFont="1" applyBorder="1" applyAlignment="1">
      <alignment vertical="top"/>
    </xf>
    <xf numFmtId="0" fontId="1" fillId="0" borderId="20" xfId="0" applyFont="1" applyBorder="1" applyAlignment="1">
      <alignment horizontal="right" vertical="top" wrapText="1"/>
    </xf>
    <xf numFmtId="184" fontId="1" fillId="0" borderId="21" xfId="0" applyNumberFormat="1" applyFont="1" applyBorder="1" applyAlignment="1">
      <alignment vertical="top"/>
    </xf>
    <xf numFmtId="0" fontId="1" fillId="0" borderId="33" xfId="0" applyFont="1" applyBorder="1" applyAlignment="1">
      <alignment horizontal="right" vertical="top" wrapText="1"/>
    </xf>
    <xf numFmtId="184" fontId="1" fillId="0" borderId="34" xfId="0" applyNumberFormat="1" applyFont="1" applyBorder="1" applyAlignment="1">
      <alignment vertical="top"/>
    </xf>
    <xf numFmtId="0" fontId="1" fillId="0" borderId="33" xfId="0" applyFont="1" applyBorder="1" applyAlignment="1">
      <alignment horizontal="left" vertical="top" wrapText="1"/>
    </xf>
    <xf numFmtId="3" fontId="16" fillId="0" borderId="32" xfId="0" applyNumberFormat="1" applyFont="1" applyBorder="1" applyAlignment="1">
      <alignment vertical="top"/>
    </xf>
    <xf numFmtId="0" fontId="1" fillId="0" borderId="45" xfId="0" applyFont="1" applyBorder="1" applyAlignment="1">
      <alignment horizontal="right" vertical="top"/>
    </xf>
    <xf numFmtId="9" fontId="1" fillId="0" borderId="46" xfId="0" applyNumberFormat="1" applyFont="1" applyBorder="1" applyAlignment="1">
      <alignment vertical="top"/>
    </xf>
    <xf numFmtId="3" fontId="1" fillId="0" borderId="20" xfId="0" applyNumberFormat="1" applyFont="1" applyBorder="1" applyAlignment="1">
      <alignment horizontal="right" vertical="top"/>
    </xf>
    <xf numFmtId="175" fontId="1" fillId="0" borderId="21" xfId="0" applyNumberFormat="1" applyFont="1" applyBorder="1" applyAlignment="1">
      <alignment vertical="top"/>
    </xf>
    <xf numFmtId="175" fontId="1" fillId="0" borderId="46" xfId="0" applyNumberFormat="1" applyFont="1" applyBorder="1" applyAlignment="1">
      <alignment vertical="top"/>
    </xf>
    <xf numFmtId="0" fontId="1" fillId="5" borderId="20" xfId="0" applyFont="1" applyFill="1" applyBorder="1" applyAlignment="1">
      <alignment horizontal="right" vertical="top"/>
    </xf>
    <xf numFmtId="0" fontId="1" fillId="5" borderId="21" xfId="0" applyFont="1" applyFill="1" applyBorder="1" applyAlignment="1">
      <alignment vertical="top"/>
    </xf>
    <xf numFmtId="0" fontId="1" fillId="0" borderId="31" xfId="0" applyFont="1" applyBorder="1" applyAlignment="1">
      <alignment horizontal="right" vertical="top"/>
    </xf>
    <xf numFmtId="0" fontId="1" fillId="0" borderId="32" xfId="0" applyFont="1" applyBorder="1" applyAlignment="1">
      <alignment vertical="top"/>
    </xf>
    <xf numFmtId="0" fontId="1" fillId="0" borderId="20" xfId="0" applyFont="1" applyBorder="1" applyAlignment="1">
      <alignment horizontal="right" vertical="top"/>
    </xf>
    <xf numFmtId="0" fontId="1" fillId="0" borderId="22" xfId="0" applyFont="1" applyBorder="1" applyAlignment="1">
      <alignment horizontal="right" vertical="top"/>
    </xf>
    <xf numFmtId="0" fontId="5" fillId="0" borderId="23" xfId="0" applyFont="1" applyBorder="1" applyAlignment="1">
      <alignment vertical="top"/>
    </xf>
    <xf numFmtId="0" fontId="5" fillId="0" borderId="24" xfId="0" applyFont="1" applyBorder="1" applyAlignment="1">
      <alignment vertical="top"/>
    </xf>
    <xf numFmtId="1" fontId="1" fillId="0" borderId="31" xfId="0" applyNumberFormat="1" applyFont="1" applyBorder="1" applyAlignment="1">
      <alignment vertical="top"/>
    </xf>
    <xf numFmtId="1" fontId="1" fillId="0" borderId="20" xfId="0" applyNumberFormat="1" applyFont="1" applyBorder="1" applyAlignment="1">
      <alignment vertical="top"/>
    </xf>
    <xf numFmtId="1" fontId="1" fillId="0" borderId="33" xfId="0" applyNumberFormat="1" applyFont="1" applyBorder="1" applyAlignment="1">
      <alignment vertical="top"/>
    </xf>
    <xf numFmtId="3" fontId="16" fillId="0" borderId="21" xfId="0" applyNumberFormat="1" applyFont="1" applyBorder="1" applyAlignment="1">
      <alignment vertical="top"/>
    </xf>
    <xf numFmtId="1" fontId="1" fillId="0" borderId="45" xfId="0" applyNumberFormat="1" applyFont="1" applyBorder="1" applyAlignment="1">
      <alignment vertical="top"/>
    </xf>
    <xf numFmtId="1" fontId="1" fillId="5" borderId="20" xfId="0" applyNumberFormat="1" applyFont="1" applyFill="1" applyBorder="1" applyAlignment="1">
      <alignment vertical="top"/>
    </xf>
    <xf numFmtId="1" fontId="5" fillId="0" borderId="22" xfId="0" applyNumberFormat="1" applyFont="1" applyBorder="1" applyAlignment="1">
      <alignment vertical="top"/>
    </xf>
    <xf numFmtId="0" fontId="1" fillId="6" borderId="31" xfId="0" applyFont="1" applyFill="1" applyBorder="1" applyAlignment="1">
      <alignment horizontal="left" vertical="top" wrapText="1"/>
    </xf>
    <xf numFmtId="1" fontId="21" fillId="6" borderId="20" xfId="15" applyNumberFormat="1" applyFont="1" applyFill="1" applyBorder="1" applyAlignment="1">
      <alignment vertical="top"/>
    </xf>
    <xf numFmtId="3" fontId="16" fillId="6" borderId="25" xfId="0" applyNumberFormat="1" applyFont="1" applyFill="1" applyBorder="1" applyAlignment="1">
      <alignment vertical="top"/>
    </xf>
    <xf numFmtId="0" fontId="1" fillId="6" borderId="20" xfId="0" applyFont="1" applyFill="1" applyBorder="1" applyAlignment="1">
      <alignment horizontal="left" vertical="top" wrapText="1"/>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xf>
    <xf numFmtId="0" fontId="32" fillId="0" borderId="1" xfId="0" applyFont="1" applyBorder="1" applyAlignment="1">
      <alignment horizontal="center" vertical="top"/>
    </xf>
    <xf numFmtId="0" fontId="16" fillId="0" borderId="1" xfId="0" applyFont="1" applyBorder="1" applyAlignment="1">
      <alignment horizontal="center" vertical="top"/>
    </xf>
    <xf numFmtId="174" fontId="16" fillId="0" borderId="1" xfId="0" applyNumberFormat="1" applyFont="1" applyBorder="1" applyAlignment="1">
      <alignment vertical="top"/>
    </xf>
    <xf numFmtId="0" fontId="5" fillId="0" borderId="1" xfId="0" applyFont="1" applyBorder="1" applyAlignment="1">
      <alignment horizontal="right"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right" vertical="top"/>
    </xf>
    <xf numFmtId="0" fontId="1" fillId="0" borderId="1" xfId="0" applyFont="1" applyBorder="1" applyAlignment="1">
      <alignment horizontal="left" vertical="top" wrapText="1"/>
    </xf>
    <xf numFmtId="183" fontId="1" fillId="0" borderId="1" xfId="0" applyNumberFormat="1" applyFont="1" applyBorder="1" applyAlignment="1">
      <alignment horizontal="center" vertical="top"/>
    </xf>
    <xf numFmtId="1" fontId="1" fillId="0" borderId="1" xfId="0" applyNumberFormat="1" applyFont="1" applyBorder="1" applyAlignment="1">
      <alignment vertical="top"/>
    </xf>
    <xf numFmtId="184" fontId="1" fillId="0" borderId="1" xfId="0" applyNumberFormat="1" applyFont="1" applyBorder="1" applyAlignment="1">
      <alignment vertical="top"/>
    </xf>
    <xf numFmtId="10" fontId="16" fillId="0" borderId="1" xfId="0" applyNumberFormat="1" applyFont="1" applyBorder="1" applyAlignment="1">
      <alignment vertical="top"/>
    </xf>
    <xf numFmtId="184" fontId="16" fillId="0" borderId="1" xfId="0" applyNumberFormat="1" applyFont="1" applyBorder="1" applyAlignment="1">
      <alignment vertical="top"/>
    </xf>
    <xf numFmtId="1" fontId="16" fillId="0" borderId="1" xfId="0" applyNumberFormat="1" applyFont="1" applyBorder="1" applyAlignment="1">
      <alignment vertical="top"/>
    </xf>
    <xf numFmtId="9" fontId="1" fillId="2" borderId="0" xfId="0" applyNumberFormat="1" applyFont="1" applyFill="1" applyBorder="1" applyAlignment="1">
      <alignment vertical="top"/>
    </xf>
    <xf numFmtId="184" fontId="1" fillId="2" borderId="0" xfId="0" applyNumberFormat="1" applyFont="1" applyFill="1" applyBorder="1" applyAlignment="1">
      <alignment vertical="top"/>
    </xf>
    <xf numFmtId="183" fontId="16" fillId="5" borderId="0" xfId="0" applyNumberFormat="1" applyFont="1" applyFill="1" applyBorder="1" applyAlignment="1">
      <alignment vertical="top"/>
    </xf>
    <xf numFmtId="183" fontId="16" fillId="5" borderId="1" xfId="0" applyNumberFormat="1" applyFont="1" applyFill="1" applyBorder="1" applyAlignment="1">
      <alignment vertical="top"/>
    </xf>
    <xf numFmtId="1" fontId="16" fillId="0" borderId="27" xfId="0" applyNumberFormat="1" applyFont="1" applyFill="1" applyBorder="1" applyAlignment="1">
      <alignment vertical="top"/>
    </xf>
    <xf numFmtId="1" fontId="16" fillId="0" borderId="26" xfId="0" applyNumberFormat="1" applyFont="1" applyFill="1" applyBorder="1" applyAlignment="1">
      <alignment vertical="top"/>
    </xf>
    <xf numFmtId="10" fontId="22" fillId="0" borderId="0" xfId="0" applyNumberFormat="1" applyFont="1" applyAlignment="1">
      <alignment vertical="top"/>
    </xf>
    <xf numFmtId="0" fontId="21" fillId="0" borderId="42" xfId="15" applyFont="1" applyBorder="1" applyAlignment="1">
      <alignment vertical="top" wrapText="1"/>
    </xf>
    <xf numFmtId="184" fontId="1" fillId="2" borderId="26" xfId="0" applyNumberFormat="1" applyFont="1" applyFill="1" applyBorder="1" applyAlignment="1">
      <alignment vertical="top"/>
    </xf>
    <xf numFmtId="0" fontId="21" fillId="0" borderId="0" xfId="15" applyFont="1" applyBorder="1" applyAlignment="1">
      <alignment horizontal="left" vertical="top" wrapText="1"/>
    </xf>
    <xf numFmtId="184" fontId="16" fillId="2" borderId="0" xfId="0" applyNumberFormat="1" applyFont="1" applyFill="1" applyBorder="1" applyAlignment="1">
      <alignment vertical="top"/>
    </xf>
    <xf numFmtId="0" fontId="23" fillId="0" borderId="0" xfId="0" applyFont="1" applyBorder="1" applyAlignment="1">
      <alignment horizontal="center" vertical="top"/>
    </xf>
    <xf numFmtId="0" fontId="8" fillId="0" borderId="7" xfId="0" applyFont="1" applyBorder="1" applyAlignment="1">
      <alignment vertical="top"/>
    </xf>
    <xf numFmtId="0" fontId="8" fillId="0" borderId="44" xfId="0" applyFont="1" applyBorder="1" applyAlignment="1">
      <alignment vertical="top"/>
    </xf>
    <xf numFmtId="172" fontId="10" fillId="0" borderId="44" xfId="0" applyNumberFormat="1" applyFont="1" applyBorder="1" applyAlignment="1">
      <alignment vertical="top"/>
    </xf>
    <xf numFmtId="184" fontId="10" fillId="0" borderId="1" xfId="0" applyNumberFormat="1" applyFont="1" applyBorder="1" applyAlignment="1">
      <alignment vertical="top"/>
    </xf>
    <xf numFmtId="0" fontId="8" fillId="0" borderId="1" xfId="0" applyFont="1" applyFill="1" applyBorder="1" applyAlignment="1">
      <alignment/>
    </xf>
    <xf numFmtId="0" fontId="34" fillId="0" borderId="0" xfId="0" applyFont="1" applyBorder="1" applyAlignment="1">
      <alignment wrapText="1"/>
    </xf>
    <xf numFmtId="0" fontId="1" fillId="0" borderId="25" xfId="0" applyFont="1" applyFill="1" applyBorder="1" applyAlignment="1">
      <alignment vertical="top"/>
    </xf>
    <xf numFmtId="11" fontId="16" fillId="0" borderId="27" xfId="0" applyNumberFormat="1" applyFont="1" applyFill="1" applyBorder="1" applyAlignment="1">
      <alignment vertical="top"/>
    </xf>
    <xf numFmtId="11" fontId="16" fillId="0" borderId="26" xfId="0" applyNumberFormat="1" applyFont="1" applyFill="1" applyBorder="1" applyAlignment="1">
      <alignment vertical="top"/>
    </xf>
    <xf numFmtId="11" fontId="16" fillId="0" borderId="29" xfId="0" applyNumberFormat="1" applyFont="1" applyFill="1" applyBorder="1" applyAlignment="1">
      <alignment vertical="top"/>
    </xf>
    <xf numFmtId="0" fontId="26" fillId="0" borderId="25" xfId="0" applyFont="1" applyFill="1" applyBorder="1" applyAlignment="1">
      <alignment horizontal="center" vertical="top"/>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16" fillId="0" borderId="0" xfId="0" applyFont="1" applyFill="1" applyBorder="1" applyAlignment="1">
      <alignment vertical="top"/>
    </xf>
    <xf numFmtId="0" fontId="1" fillId="5" borderId="7" xfId="0" applyFont="1" applyFill="1" applyBorder="1" applyAlignment="1">
      <alignment vertical="top"/>
    </xf>
    <xf numFmtId="0" fontId="1" fillId="5" borderId="44" xfId="0" applyFont="1" applyFill="1" applyBorder="1" applyAlignment="1">
      <alignment vertical="top"/>
    </xf>
    <xf numFmtId="0" fontId="1" fillId="5" borderId="2" xfId="0" applyFont="1" applyFill="1" applyBorder="1" applyAlignment="1">
      <alignment vertical="top"/>
    </xf>
    <xf numFmtId="0" fontId="1" fillId="0" borderId="2" xfId="0" applyFont="1" applyBorder="1" applyAlignment="1">
      <alignment vertical="top"/>
    </xf>
    <xf numFmtId="0" fontId="36" fillId="0" borderId="0" xfId="0" applyFont="1" applyBorder="1" applyAlignment="1">
      <alignment horizontal="center" wrapText="1"/>
    </xf>
    <xf numFmtId="0" fontId="37" fillId="0" borderId="0" xfId="0" applyFont="1" applyBorder="1" applyAlignment="1">
      <alignment wrapText="1"/>
    </xf>
    <xf numFmtId="10" fontId="37" fillId="0" borderId="0" xfId="0" applyNumberFormat="1" applyFont="1" applyBorder="1" applyAlignment="1">
      <alignment wrapText="1"/>
    </xf>
    <xf numFmtId="10" fontId="0" fillId="0" borderId="0" xfId="0" applyNumberFormat="1" applyBorder="1" applyAlignment="1">
      <alignment/>
    </xf>
    <xf numFmtId="0" fontId="6" fillId="0" borderId="0" xfId="15" applyBorder="1" applyAlignment="1">
      <alignment/>
    </xf>
    <xf numFmtId="0" fontId="36" fillId="0" borderId="0" xfId="0" applyFont="1" applyFill="1" applyBorder="1" applyAlignment="1">
      <alignment horizontal="center" wrapText="1"/>
    </xf>
    <xf numFmtId="10" fontId="17" fillId="0" borderId="0" xfId="0" applyNumberFormat="1" applyFont="1" applyBorder="1" applyAlignment="1">
      <alignment/>
    </xf>
    <xf numFmtId="0" fontId="17" fillId="0" borderId="0" xfId="0" applyFont="1" applyBorder="1" applyAlignment="1">
      <alignment/>
    </xf>
    <xf numFmtId="10" fontId="38" fillId="2" borderId="0" xfId="0" applyNumberFormat="1" applyFont="1" applyFill="1" applyBorder="1" applyAlignment="1">
      <alignment wrapText="1"/>
    </xf>
    <xf numFmtId="0" fontId="0" fillId="0" borderId="0" xfId="0" applyAlignment="1">
      <alignment wrapText="1"/>
    </xf>
    <xf numFmtId="0" fontId="0" fillId="0" borderId="0" xfId="0" applyFont="1" applyAlignment="1">
      <alignment horizontal="center" vertical="center" wrapText="1"/>
    </xf>
    <xf numFmtId="0" fontId="39"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35" fillId="0" borderId="0" xfId="0" applyFont="1" applyAlignment="1">
      <alignment/>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wrapText="1"/>
    </xf>
    <xf numFmtId="0" fontId="6" fillId="0" borderId="0" xfId="15" applyFont="1" applyAlignment="1">
      <alignment/>
    </xf>
    <xf numFmtId="11" fontId="0" fillId="0" borderId="1" xfId="0" applyNumberFormat="1" applyBorder="1" applyAlignment="1">
      <alignment/>
    </xf>
    <xf numFmtId="11" fontId="17" fillId="0" borderId="1" xfId="0" applyNumberFormat="1" applyFont="1" applyBorder="1" applyAlignment="1">
      <alignment/>
    </xf>
    <xf numFmtId="184" fontId="17" fillId="0" borderId="1" xfId="0" applyNumberFormat="1" applyFont="1" applyBorder="1" applyAlignment="1">
      <alignment/>
    </xf>
    <xf numFmtId="184" fontId="17" fillId="0" borderId="1" xfId="0" applyNumberFormat="1" applyFont="1" applyBorder="1" applyAlignment="1">
      <alignment wrapText="1"/>
    </xf>
    <xf numFmtId="0" fontId="0" fillId="0" borderId="7" xfId="0" applyFont="1" applyBorder="1" applyAlignment="1">
      <alignment/>
    </xf>
    <xf numFmtId="0" fontId="0" fillId="0" borderId="7" xfId="0" applyBorder="1" applyAlignment="1">
      <alignment wrapText="1"/>
    </xf>
    <xf numFmtId="0" fontId="0" fillId="0" borderId="2" xfId="0" applyFont="1" applyBorder="1" applyAlignment="1">
      <alignment horizontal="center" vertical="center" wrapText="1"/>
    </xf>
    <xf numFmtId="0" fontId="0" fillId="0" borderId="2" xfId="0" applyBorder="1" applyAlignment="1">
      <alignment wrapText="1"/>
    </xf>
    <xf numFmtId="0" fontId="0" fillId="0" borderId="36" xfId="0" applyFont="1" applyBorder="1" applyAlignment="1">
      <alignment horizontal="left" vertical="center" wrapText="1"/>
    </xf>
    <xf numFmtId="0" fontId="0" fillId="0" borderId="37" xfId="0" applyFont="1" applyBorder="1" applyAlignment="1" quotePrefix="1">
      <alignment horizontal="left" vertical="center" wrapText="1"/>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4" xfId="0" applyBorder="1" applyAlignment="1">
      <alignment wrapText="1"/>
    </xf>
    <xf numFmtId="184" fontId="17" fillId="0" borderId="4" xfId="0" applyNumberFormat="1" applyFont="1" applyBorder="1" applyAlignment="1">
      <alignment wrapText="1"/>
    </xf>
    <xf numFmtId="184" fontId="17" fillId="0" borderId="6" xfId="0" applyNumberFormat="1" applyFont="1" applyBorder="1" applyAlignment="1">
      <alignment wrapText="1"/>
    </xf>
    <xf numFmtId="183" fontId="0" fillId="0" borderId="3" xfId="0" applyNumberFormat="1" applyBorder="1" applyAlignment="1">
      <alignment wrapText="1"/>
    </xf>
    <xf numFmtId="183" fontId="0" fillId="0" borderId="1" xfId="0" applyNumberFormat="1" applyBorder="1" applyAlignment="1">
      <alignment wrapText="1"/>
    </xf>
    <xf numFmtId="183" fontId="17" fillId="0" borderId="1" xfId="0" applyNumberFormat="1" applyFont="1" applyBorder="1" applyAlignment="1">
      <alignment wrapText="1"/>
    </xf>
    <xf numFmtId="183" fontId="0" fillId="0" borderId="5" xfId="0" applyNumberFormat="1" applyBorder="1" applyAlignment="1">
      <alignment wrapText="1"/>
    </xf>
    <xf numFmtId="183" fontId="0" fillId="0" borderId="39" xfId="0" applyNumberFormat="1" applyBorder="1" applyAlignment="1">
      <alignment wrapText="1"/>
    </xf>
    <xf numFmtId="183" fontId="17" fillId="0" borderId="39" xfId="0" applyNumberFormat="1" applyFont="1" applyBorder="1" applyAlignment="1">
      <alignment wrapText="1"/>
    </xf>
    <xf numFmtId="11" fontId="1" fillId="0" borderId="0" xfId="0" applyNumberFormat="1" applyFont="1" applyFill="1" applyBorder="1" applyAlignment="1">
      <alignment vertical="top"/>
    </xf>
    <xf numFmtId="11" fontId="1" fillId="0" borderId="0" xfId="0" applyNumberFormat="1" applyFont="1" applyBorder="1" applyAlignment="1">
      <alignment vertical="top"/>
    </xf>
    <xf numFmtId="11" fontId="15" fillId="0" borderId="0" xfId="0" applyNumberFormat="1" applyFont="1" applyFill="1" applyBorder="1" applyAlignment="1">
      <alignment vertical="top"/>
    </xf>
    <xf numFmtId="11" fontId="1" fillId="2" borderId="0" xfId="0" applyNumberFormat="1" applyFont="1" applyFill="1" applyBorder="1" applyAlignment="1">
      <alignment/>
    </xf>
    <xf numFmtId="11" fontId="16" fillId="0" borderId="0" xfId="0" applyNumberFormat="1" applyFont="1" applyFill="1" applyBorder="1" applyAlignment="1">
      <alignment/>
    </xf>
    <xf numFmtId="11" fontId="1" fillId="0" borderId="0" xfId="0" applyNumberFormat="1" applyFont="1" applyFill="1" applyBorder="1" applyAlignment="1">
      <alignment/>
    </xf>
    <xf numFmtId="0" fontId="23" fillId="0" borderId="40" xfId="0" applyFont="1" applyFill="1" applyBorder="1" applyAlignment="1">
      <alignment horizontal="center" vertical="top"/>
    </xf>
    <xf numFmtId="0" fontId="23" fillId="0" borderId="40" xfId="0" applyFont="1" applyFill="1" applyBorder="1" applyAlignment="1">
      <alignment vertical="top"/>
    </xf>
    <xf numFmtId="0" fontId="16" fillId="0" borderId="40" xfId="0" applyFont="1" applyFill="1" applyBorder="1" applyAlignment="1">
      <alignment vertical="top"/>
    </xf>
    <xf numFmtId="0" fontId="11" fillId="0" borderId="26" xfId="0" applyFont="1" applyBorder="1" applyAlignment="1">
      <alignment vertical="top" wrapText="1"/>
    </xf>
    <xf numFmtId="11" fontId="15" fillId="0" borderId="26" xfId="0" applyNumberFormat="1" applyFont="1" applyBorder="1" applyAlignment="1">
      <alignment vertical="top"/>
    </xf>
    <xf numFmtId="11" fontId="1" fillId="0" borderId="26" xfId="0" applyNumberFormat="1" applyFont="1" applyFill="1" applyBorder="1" applyAlignment="1">
      <alignment vertical="top"/>
    </xf>
    <xf numFmtId="11" fontId="1" fillId="0" borderId="30" xfId="0" applyNumberFormat="1" applyFont="1" applyFill="1" applyBorder="1" applyAlignment="1">
      <alignment vertical="top"/>
    </xf>
    <xf numFmtId="11" fontId="1" fillId="0" borderId="26" xfId="0" applyNumberFormat="1" applyFont="1" applyBorder="1" applyAlignment="1">
      <alignment vertical="top"/>
    </xf>
    <xf numFmtId="10" fontId="16" fillId="0" borderId="42" xfId="0" applyNumberFormat="1" applyFont="1" applyFill="1" applyBorder="1" applyAlignment="1">
      <alignment vertical="top"/>
    </xf>
    <xf numFmtId="10" fontId="38" fillId="0" borderId="0" xfId="0" applyNumberFormat="1" applyFont="1" applyFill="1" applyBorder="1" applyAlignment="1">
      <alignment wrapText="1"/>
    </xf>
    <xf numFmtId="11" fontId="17" fillId="0" borderId="0" xfId="0" applyNumberFormat="1" applyFont="1" applyBorder="1" applyAlignment="1">
      <alignment/>
    </xf>
    <xf numFmtId="0" fontId="28" fillId="0" borderId="11" xfId="15" applyFont="1" applyBorder="1" applyAlignment="1">
      <alignment/>
    </xf>
    <xf numFmtId="0" fontId="16" fillId="5" borderId="40" xfId="0" applyFont="1" applyFill="1" applyBorder="1" applyAlignment="1">
      <alignment vertical="top"/>
    </xf>
    <xf numFmtId="0" fontId="1" fillId="5" borderId="30" xfId="0" applyFont="1" applyFill="1" applyBorder="1" applyAlignment="1">
      <alignment vertical="top"/>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1" fillId="0" borderId="0" xfId="0" applyFont="1" applyBorder="1" applyAlignment="1">
      <alignment horizontal="right" vertical="top"/>
    </xf>
    <xf numFmtId="0" fontId="9" fillId="0" borderId="7" xfId="0" applyFont="1" applyBorder="1" applyAlignment="1">
      <alignment horizontal="center" vertical="top"/>
    </xf>
    <xf numFmtId="0" fontId="9" fillId="0" borderId="44" xfId="0" applyFont="1" applyBorder="1" applyAlignment="1">
      <alignment horizontal="center" vertical="top"/>
    </xf>
    <xf numFmtId="0" fontId="8" fillId="0" borderId="40" xfId="0" applyFont="1" applyBorder="1" applyAlignment="1">
      <alignment horizontal="left" vertical="top" wrapText="1"/>
    </xf>
    <xf numFmtId="0" fontId="0" fillId="0" borderId="11" xfId="0" applyBorder="1" applyAlignment="1">
      <alignment horizontal="center"/>
    </xf>
    <xf numFmtId="0" fontId="0" fillId="0" borderId="30" xfId="0" applyBorder="1" applyAlignment="1">
      <alignment horizontal="center"/>
    </xf>
    <xf numFmtId="0" fontId="2" fillId="0" borderId="7"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38" xfId="0" applyFont="1" applyBorder="1" applyAlignment="1">
      <alignment horizontal="left" vertical="top" wrapText="1"/>
    </xf>
    <xf numFmtId="0" fontId="8" fillId="0" borderId="11" xfId="0" applyFont="1" applyBorder="1" applyAlignment="1">
      <alignment horizontal="left" vertical="top" wrapText="1"/>
    </xf>
    <xf numFmtId="0" fontId="8" fillId="0" borderId="30" xfId="0" applyFont="1" applyBorder="1" applyAlignment="1">
      <alignment horizontal="left" vertical="top" wrapText="1"/>
    </xf>
    <xf numFmtId="0" fontId="9" fillId="0" borderId="1" xfId="0" applyFont="1" applyBorder="1" applyAlignment="1">
      <alignment horizontal="center" vertical="top"/>
    </xf>
    <xf numFmtId="0" fontId="5" fillId="0" borderId="1" xfId="0" applyFont="1" applyBorder="1" applyAlignment="1">
      <alignment horizontal="center" vertical="top"/>
    </xf>
    <xf numFmtId="0" fontId="1" fillId="0" borderId="11" xfId="0" applyFont="1" applyBorder="1" applyAlignment="1">
      <alignment horizontal="left" vertical="top" wrapText="1"/>
    </xf>
    <xf numFmtId="0" fontId="1" fillId="0" borderId="30" xfId="0" applyFont="1" applyBorder="1" applyAlignment="1">
      <alignment horizontal="left" vertical="top" wrapText="1"/>
    </xf>
    <xf numFmtId="0" fontId="1" fillId="0" borderId="1" xfId="0" applyFont="1" applyBorder="1" applyAlignment="1">
      <alignment horizontal="center" vertical="top"/>
    </xf>
    <xf numFmtId="0" fontId="1" fillId="0" borderId="25" xfId="0" applyFont="1" applyBorder="1" applyAlignment="1">
      <alignment horizontal="right" vertical="top"/>
    </xf>
    <xf numFmtId="0" fontId="1" fillId="0" borderId="26" xfId="0" applyFont="1" applyBorder="1" applyAlignment="1">
      <alignment horizontal="right" vertical="top"/>
    </xf>
    <xf numFmtId="0" fontId="1" fillId="0" borderId="10" xfId="0" applyFont="1" applyBorder="1" applyAlignment="1">
      <alignment horizontal="center" vertical="top"/>
    </xf>
    <xf numFmtId="0" fontId="1" fillId="0" borderId="43" xfId="0" applyFont="1" applyBorder="1" applyAlignment="1">
      <alignment horizontal="center" vertical="top"/>
    </xf>
    <xf numFmtId="0" fontId="1" fillId="0" borderId="29" xfId="0" applyFont="1" applyBorder="1" applyAlignment="1">
      <alignment horizontal="center" vertical="top"/>
    </xf>
    <xf numFmtId="0" fontId="1" fillId="0" borderId="9" xfId="0" applyFont="1" applyBorder="1" applyAlignment="1">
      <alignment horizontal="center" vertical="top" wrapText="1"/>
    </xf>
    <xf numFmtId="0" fontId="1" fillId="0" borderId="42" xfId="0" applyFont="1" applyBorder="1" applyAlignment="1">
      <alignment horizontal="center" vertical="top" wrapText="1"/>
    </xf>
    <xf numFmtId="0" fontId="1" fillId="0" borderId="27" xfId="0" applyFont="1" applyBorder="1" applyAlignment="1">
      <alignment horizontal="center" vertical="top" wrapText="1"/>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26" xfId="0" applyFont="1" applyBorder="1" applyAlignment="1">
      <alignment horizontal="left" vertical="top" wrapText="1"/>
    </xf>
    <xf numFmtId="0" fontId="1" fillId="0" borderId="25" xfId="0" applyFont="1" applyBorder="1" applyAlignment="1">
      <alignment horizontal="center" vertical="top"/>
    </xf>
    <xf numFmtId="0" fontId="1" fillId="0" borderId="0" xfId="0" applyFont="1" applyBorder="1" applyAlignment="1">
      <alignment horizontal="center" vertical="top"/>
    </xf>
    <xf numFmtId="0" fontId="1" fillId="0" borderId="26" xfId="0" applyFont="1" applyBorder="1" applyAlignment="1">
      <alignment horizontal="center" vertical="top"/>
    </xf>
    <xf numFmtId="0" fontId="1" fillId="0" borderId="9" xfId="0" applyFont="1" applyBorder="1" applyAlignment="1">
      <alignment horizontal="center" vertical="top"/>
    </xf>
    <xf numFmtId="0" fontId="1" fillId="0" borderId="42" xfId="0" applyFont="1" applyBorder="1" applyAlignment="1">
      <alignment horizontal="center" vertical="top"/>
    </xf>
    <xf numFmtId="0" fontId="1" fillId="0" borderId="43" xfId="0" applyFont="1" applyBorder="1" applyAlignment="1">
      <alignment horizontal="right" vertical="top"/>
    </xf>
    <xf numFmtId="0" fontId="1" fillId="0" borderId="10" xfId="0" applyFont="1" applyBorder="1" applyAlignment="1">
      <alignment horizontal="left" vertical="top" wrapText="1"/>
    </xf>
    <xf numFmtId="0" fontId="1" fillId="0" borderId="43" xfId="0" applyFont="1" applyBorder="1" applyAlignment="1">
      <alignment horizontal="left" vertical="top" wrapText="1"/>
    </xf>
    <xf numFmtId="0" fontId="1" fillId="0" borderId="29" xfId="0" applyFont="1" applyBorder="1" applyAlignment="1">
      <alignment horizontal="left" vertical="top" wrapText="1"/>
    </xf>
    <xf numFmtId="183" fontId="1" fillId="0" borderId="0" xfId="0" applyNumberFormat="1" applyFont="1" applyBorder="1" applyAlignment="1">
      <alignment horizontal="center" vertical="top"/>
    </xf>
    <xf numFmtId="183" fontId="1" fillId="0" borderId="26" xfId="0" applyNumberFormat="1" applyFont="1" applyBorder="1" applyAlignment="1">
      <alignment horizontal="center" vertical="top"/>
    </xf>
    <xf numFmtId="183" fontId="1" fillId="0" borderId="25" xfId="0" applyNumberFormat="1"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1" fillId="0" borderId="34" xfId="0" applyFont="1" applyBorder="1" applyAlignment="1">
      <alignment horizontal="center" vertical="top"/>
    </xf>
    <xf numFmtId="0" fontId="24" fillId="0" borderId="42"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43" xfId="0" applyFont="1" applyFill="1" applyBorder="1" applyAlignment="1">
      <alignment horizontal="center" vertical="top" wrapText="1"/>
    </xf>
    <xf numFmtId="0" fontId="23" fillId="0" borderId="0" xfId="0" applyFont="1" applyBorder="1" applyAlignment="1">
      <alignment horizontal="center" vertical="top"/>
    </xf>
    <xf numFmtId="0" fontId="23" fillId="0" borderId="43" xfId="0" applyFont="1" applyBorder="1" applyAlignment="1">
      <alignment horizontal="center" vertical="top"/>
    </xf>
    <xf numFmtId="0" fontId="26" fillId="0" borderId="9" xfId="0" applyFont="1" applyBorder="1" applyAlignment="1">
      <alignment horizontal="center" vertical="top"/>
    </xf>
    <xf numFmtId="0" fontId="26" fillId="0" borderId="25" xfId="0" applyFont="1" applyBorder="1" applyAlignment="1">
      <alignment horizontal="center" vertical="top"/>
    </xf>
    <xf numFmtId="0" fontId="26" fillId="0" borderId="10" xfId="0" applyFont="1" applyBorder="1" applyAlignment="1">
      <alignment horizontal="center" vertical="top"/>
    </xf>
    <xf numFmtId="0" fontId="23" fillId="0" borderId="42" xfId="0" applyFont="1" applyBorder="1" applyAlignment="1">
      <alignment horizontal="center" vertical="top"/>
    </xf>
    <xf numFmtId="11" fontId="16" fillId="0" borderId="42" xfId="0" applyNumberFormat="1" applyFont="1" applyBorder="1" applyAlignment="1">
      <alignment horizontal="center" vertical="top"/>
    </xf>
    <xf numFmtId="11" fontId="16" fillId="0" borderId="43" xfId="0" applyNumberFormat="1" applyFont="1" applyBorder="1" applyAlignment="1">
      <alignment horizontal="center" vertical="top"/>
    </xf>
    <xf numFmtId="0" fontId="24" fillId="0" borderId="42" xfId="0" applyFont="1" applyBorder="1" applyAlignment="1">
      <alignment horizontal="center" vertical="top" wrapText="1"/>
    </xf>
    <xf numFmtId="0" fontId="24" fillId="0" borderId="43" xfId="0" applyFont="1" applyBorder="1" applyAlignment="1">
      <alignment horizontal="center" vertical="top" wrapText="1"/>
    </xf>
    <xf numFmtId="0" fontId="28" fillId="0" borderId="42" xfId="15" applyFont="1" applyBorder="1" applyAlignment="1">
      <alignment horizontal="center" vertical="top"/>
    </xf>
    <xf numFmtId="0" fontId="28" fillId="0" borderId="0" xfId="15" applyFont="1" applyBorder="1" applyAlignment="1">
      <alignment horizontal="center" vertical="top"/>
    </xf>
    <xf numFmtId="0" fontId="23" fillId="6" borderId="26" xfId="0" applyFont="1" applyFill="1" applyBorder="1" applyAlignment="1">
      <alignment horizontal="center" vertical="top"/>
    </xf>
    <xf numFmtId="0" fontId="27" fillId="0" borderId="9" xfId="0" applyFont="1" applyFill="1" applyBorder="1" applyAlignment="1">
      <alignment horizontal="center" vertical="top" wrapText="1"/>
    </xf>
    <xf numFmtId="0" fontId="27" fillId="0" borderId="10" xfId="0" applyFont="1" applyFill="1" applyBorder="1" applyAlignment="1">
      <alignment horizontal="center" vertical="top" wrapText="1"/>
    </xf>
    <xf numFmtId="0" fontId="1" fillId="0" borderId="9" xfId="0" applyFont="1" applyBorder="1" applyAlignment="1">
      <alignment horizontal="left" vertical="top"/>
    </xf>
    <xf numFmtId="0" fontId="1" fillId="0" borderId="10" xfId="0" applyFont="1" applyBorder="1" applyAlignment="1">
      <alignment horizontal="left" vertical="top"/>
    </xf>
    <xf numFmtId="0" fontId="0" fillId="0" borderId="0" xfId="0"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left" wrapText="1"/>
    </xf>
    <xf numFmtId="0" fontId="0" fillId="0" borderId="1" xfId="0" applyBorder="1" applyAlignment="1">
      <alignment horizontal="center"/>
    </xf>
    <xf numFmtId="0" fontId="0" fillId="0" borderId="11" xfId="0" applyBorder="1" applyAlignment="1">
      <alignment horizontal="center" wrapText="1"/>
    </xf>
    <xf numFmtId="0" fontId="0" fillId="0" borderId="30" xfId="0" applyBorder="1" applyAlignment="1">
      <alignment horizontal="center" wrapText="1"/>
    </xf>
    <xf numFmtId="0" fontId="0" fillId="0" borderId="0" xfId="0" applyAlignment="1">
      <alignment horizontal="left" wrapText="1"/>
    </xf>
    <xf numFmtId="175" fontId="10" fillId="0" borderId="1" xfId="0" applyNumberFormat="1" applyFont="1" applyFill="1" applyBorder="1" applyAlignment="1">
      <alignment vertical="top"/>
    </xf>
    <xf numFmtId="0" fontId="8" fillId="0" borderId="11"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30" xfId="0" applyFont="1" applyFill="1" applyBorder="1" applyAlignment="1">
      <alignment horizontal="left" vertical="top" wrapText="1"/>
    </xf>
    <xf numFmtId="2" fontId="1" fillId="0" borderId="43" xfId="0" applyNumberFormat="1" applyFont="1" applyFill="1" applyBorder="1" applyAlignment="1">
      <alignment vertical="top"/>
    </xf>
    <xf numFmtId="180" fontId="10" fillId="0" borderId="1" xfId="0" applyNumberFormat="1" applyFont="1" applyFill="1" applyBorder="1" applyAlignment="1">
      <alignment vertical="top"/>
    </xf>
    <xf numFmtId="2" fontId="10" fillId="0" borderId="0" xfId="0" applyNumberFormat="1" applyFont="1" applyAlignment="1">
      <alignment vertical="top"/>
    </xf>
    <xf numFmtId="175" fontId="10" fillId="0" borderId="0" xfId="0" applyNumberFormat="1" applyFont="1" applyAlignment="1">
      <alignment vertical="top"/>
    </xf>
  </cellXfs>
  <cellStyles count="9">
    <cellStyle name="Normal" xfId="0"/>
    <cellStyle name="Hyperlink" xfId="15"/>
    <cellStyle name="Currency" xfId="16"/>
    <cellStyle name="Currency [0]" xfId="17"/>
    <cellStyle name="Обычный_Литература-4"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'Задача1-Прим'!$B$12</c:f>
              <c:strCache>
                <c:ptCount val="1"/>
                <c:pt idx="0">
                  <c:v>VB</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'Задача1-Прим'!$B$13:$B$112</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2.25</c:v>
                </c:pt>
                <c:pt idx="15">
                  <c:v>3.6</c:v>
                </c:pt>
                <c:pt idx="16">
                  <c:v>3.6</c:v>
                </c:pt>
                <c:pt idx="17">
                  <c:v>6.75</c:v>
                </c:pt>
                <c:pt idx="18">
                  <c:v>12.6</c:v>
                </c:pt>
                <c:pt idx="19">
                  <c:v>13.5</c:v>
                </c:pt>
                <c:pt idx="20">
                  <c:v>16.2</c:v>
                </c:pt>
                <c:pt idx="21">
                  <c:v>22.950000000000003</c:v>
                </c:pt>
                <c:pt idx="22">
                  <c:v>25.2</c:v>
                </c:pt>
                <c:pt idx="23">
                  <c:v>26.1</c:v>
                </c:pt>
                <c:pt idx="24">
                  <c:v>27</c:v>
                </c:pt>
                <c:pt idx="25">
                  <c:v>36</c:v>
                </c:pt>
                <c:pt idx="26">
                  <c:v>36</c:v>
                </c:pt>
                <c:pt idx="27">
                  <c:v>36</c:v>
                </c:pt>
                <c:pt idx="28">
                  <c:v>36.449999999999996</c:v>
                </c:pt>
                <c:pt idx="29">
                  <c:v>36.45</c:v>
                </c:pt>
                <c:pt idx="30">
                  <c:v>43.2</c:v>
                </c:pt>
                <c:pt idx="31">
                  <c:v>43.2</c:v>
                </c:pt>
                <c:pt idx="32">
                  <c:v>46.800000000000004</c:v>
                </c:pt>
                <c:pt idx="33">
                  <c:v>47.25000000000001</c:v>
                </c:pt>
                <c:pt idx="34">
                  <c:v>51.75</c:v>
                </c:pt>
                <c:pt idx="35">
                  <c:v>52.650000000000006</c:v>
                </c:pt>
                <c:pt idx="36">
                  <c:v>54</c:v>
                </c:pt>
                <c:pt idx="37">
                  <c:v>56.699999999999996</c:v>
                </c:pt>
                <c:pt idx="38">
                  <c:v>66.15</c:v>
                </c:pt>
                <c:pt idx="39">
                  <c:v>66.60000000000001</c:v>
                </c:pt>
                <c:pt idx="40">
                  <c:v>70.2</c:v>
                </c:pt>
                <c:pt idx="41">
                  <c:v>72</c:v>
                </c:pt>
                <c:pt idx="42">
                  <c:v>74.7</c:v>
                </c:pt>
                <c:pt idx="43">
                  <c:v>75.60000000000001</c:v>
                </c:pt>
                <c:pt idx="44">
                  <c:v>82.35</c:v>
                </c:pt>
                <c:pt idx="45">
                  <c:v>82.8</c:v>
                </c:pt>
                <c:pt idx="46">
                  <c:v>85.5</c:v>
                </c:pt>
                <c:pt idx="47">
                  <c:v>91.35000000000001</c:v>
                </c:pt>
                <c:pt idx="48">
                  <c:v>95.85</c:v>
                </c:pt>
                <c:pt idx="49">
                  <c:v>99</c:v>
                </c:pt>
                <c:pt idx="50">
                  <c:v>101.25</c:v>
                </c:pt>
                <c:pt idx="51">
                  <c:v>112.5</c:v>
                </c:pt>
                <c:pt idx="52">
                  <c:v>115.2</c:v>
                </c:pt>
                <c:pt idx="53">
                  <c:v>115.2</c:v>
                </c:pt>
                <c:pt idx="54">
                  <c:v>116.10000000000001</c:v>
                </c:pt>
                <c:pt idx="55">
                  <c:v>122.4</c:v>
                </c:pt>
                <c:pt idx="56">
                  <c:v>122.4</c:v>
                </c:pt>
                <c:pt idx="57">
                  <c:v>125.55000000000001</c:v>
                </c:pt>
                <c:pt idx="58">
                  <c:v>125.55000000000001</c:v>
                </c:pt>
                <c:pt idx="59">
                  <c:v>126</c:v>
                </c:pt>
                <c:pt idx="60">
                  <c:v>126</c:v>
                </c:pt>
                <c:pt idx="61">
                  <c:v>129.60000000000002</c:v>
                </c:pt>
                <c:pt idx="62">
                  <c:v>141.75</c:v>
                </c:pt>
                <c:pt idx="63">
                  <c:v>150.75</c:v>
                </c:pt>
                <c:pt idx="64">
                  <c:v>154.8</c:v>
                </c:pt>
                <c:pt idx="65">
                  <c:v>160.65</c:v>
                </c:pt>
                <c:pt idx="66">
                  <c:v>162</c:v>
                </c:pt>
                <c:pt idx="67">
                  <c:v>171</c:v>
                </c:pt>
                <c:pt idx="68">
                  <c:v>175.5</c:v>
                </c:pt>
                <c:pt idx="69">
                  <c:v>184.5</c:v>
                </c:pt>
                <c:pt idx="70">
                  <c:v>194.4</c:v>
                </c:pt>
                <c:pt idx="71">
                  <c:v>195.3</c:v>
                </c:pt>
                <c:pt idx="72">
                  <c:v>198</c:v>
                </c:pt>
                <c:pt idx="73">
                  <c:v>200.25000000000003</c:v>
                </c:pt>
                <c:pt idx="74">
                  <c:v>211.50000000000003</c:v>
                </c:pt>
                <c:pt idx="75">
                  <c:v>212.4</c:v>
                </c:pt>
                <c:pt idx="76">
                  <c:v>214.65</c:v>
                </c:pt>
                <c:pt idx="77">
                  <c:v>225</c:v>
                </c:pt>
                <c:pt idx="78">
                  <c:v>226.79999999999998</c:v>
                </c:pt>
                <c:pt idx="79">
                  <c:v>230.85000000000002</c:v>
                </c:pt>
                <c:pt idx="80">
                  <c:v>234.89999999999998</c:v>
                </c:pt>
                <c:pt idx="81">
                  <c:v>248.39999999999998</c:v>
                </c:pt>
                <c:pt idx="82">
                  <c:v>264.6</c:v>
                </c:pt>
                <c:pt idx="83">
                  <c:v>270</c:v>
                </c:pt>
                <c:pt idx="84">
                  <c:v>273.6</c:v>
                </c:pt>
                <c:pt idx="85">
                  <c:v>283.5</c:v>
                </c:pt>
                <c:pt idx="86">
                  <c:v>297</c:v>
                </c:pt>
                <c:pt idx="87">
                  <c:v>299.25</c:v>
                </c:pt>
                <c:pt idx="88">
                  <c:v>303.75</c:v>
                </c:pt>
                <c:pt idx="89">
                  <c:v>310.5</c:v>
                </c:pt>
                <c:pt idx="90">
                  <c:v>315.90000000000003</c:v>
                </c:pt>
                <c:pt idx="91">
                  <c:v>319.95000000000005</c:v>
                </c:pt>
                <c:pt idx="92">
                  <c:v>324</c:v>
                </c:pt>
                <c:pt idx="93">
                  <c:v>332.09999999999997</c:v>
                </c:pt>
                <c:pt idx="94">
                  <c:v>382.5</c:v>
                </c:pt>
                <c:pt idx="95">
                  <c:v>392.84999999999997</c:v>
                </c:pt>
                <c:pt idx="96">
                  <c:v>396</c:v>
                </c:pt>
                <c:pt idx="97">
                  <c:v>405</c:v>
                </c:pt>
                <c:pt idx="98">
                  <c:v>409.5</c:v>
                </c:pt>
                <c:pt idx="99">
                  <c:v>423.00000000000006</c:v>
                </c:pt>
              </c:numCache>
            </c:numRef>
          </c:val>
        </c:ser>
        <c:gapWidth val="100"/>
        <c:axId val="43748464"/>
        <c:axId val="58191857"/>
      </c:barChart>
      <c:catAx>
        <c:axId val="43748464"/>
        <c:scaling>
          <c:orientation val="minMax"/>
        </c:scaling>
        <c:axPos val="b"/>
        <c:delete val="0"/>
        <c:numFmt formatCode="General" sourceLinked="1"/>
        <c:majorTickMark val="out"/>
        <c:minorTickMark val="none"/>
        <c:tickLblPos val="nextTo"/>
        <c:crossAx val="58191857"/>
        <c:crosses val="autoZero"/>
        <c:auto val="1"/>
        <c:lblOffset val="100"/>
        <c:tickLblSkip val="1000"/>
        <c:tickMarkSkip val="1000"/>
        <c:noMultiLvlLbl val="0"/>
      </c:catAx>
      <c:valAx>
        <c:axId val="58191857"/>
        <c:scaling>
          <c:orientation val="minMax"/>
        </c:scaling>
        <c:axPos val="l"/>
        <c:majorGridlines/>
        <c:delete val="0"/>
        <c:numFmt formatCode="General" sourceLinked="1"/>
        <c:majorTickMark val="out"/>
        <c:minorTickMark val="none"/>
        <c:tickLblPos val="nextTo"/>
        <c:crossAx val="43748464"/>
        <c:crossesAt val="1"/>
        <c:crossBetween val="between"/>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'Задача2-П3(КZ высок)'!$B$39</c:f>
              <c:strCache>
                <c:ptCount val="1"/>
                <c:pt idx="0">
                  <c:v>PB</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'Задача2-П3(КZ высок)'!$B$40:$B$139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2.25</c:v>
                </c:pt>
                <c:pt idx="15">
                  <c:v>3.6</c:v>
                </c:pt>
                <c:pt idx="16">
                  <c:v>3.6</c:v>
                </c:pt>
                <c:pt idx="17">
                  <c:v>6.75</c:v>
                </c:pt>
                <c:pt idx="18">
                  <c:v>12.6</c:v>
                </c:pt>
                <c:pt idx="19">
                  <c:v>13.5</c:v>
                </c:pt>
                <c:pt idx="20">
                  <c:v>16.2</c:v>
                </c:pt>
                <c:pt idx="21">
                  <c:v>22.950000000000003</c:v>
                </c:pt>
                <c:pt idx="22">
                  <c:v>25.2</c:v>
                </c:pt>
                <c:pt idx="23">
                  <c:v>26.1</c:v>
                </c:pt>
                <c:pt idx="24">
                  <c:v>27</c:v>
                </c:pt>
                <c:pt idx="25">
                  <c:v>36</c:v>
                </c:pt>
                <c:pt idx="26">
                  <c:v>36</c:v>
                </c:pt>
                <c:pt idx="27">
                  <c:v>36</c:v>
                </c:pt>
                <c:pt idx="28">
                  <c:v>36.449999999999996</c:v>
                </c:pt>
                <c:pt idx="29">
                  <c:v>36.45</c:v>
                </c:pt>
                <c:pt idx="30">
                  <c:v>43.2</c:v>
                </c:pt>
                <c:pt idx="31">
                  <c:v>43.2</c:v>
                </c:pt>
                <c:pt idx="32">
                  <c:v>46.800000000000004</c:v>
                </c:pt>
                <c:pt idx="33">
                  <c:v>47.25000000000001</c:v>
                </c:pt>
                <c:pt idx="34">
                  <c:v>51.75</c:v>
                </c:pt>
                <c:pt idx="35">
                  <c:v>52.650000000000006</c:v>
                </c:pt>
                <c:pt idx="36">
                  <c:v>54</c:v>
                </c:pt>
                <c:pt idx="37">
                  <c:v>56.699999999999996</c:v>
                </c:pt>
                <c:pt idx="38">
                  <c:v>66.15</c:v>
                </c:pt>
                <c:pt idx="39">
                  <c:v>66.60000000000001</c:v>
                </c:pt>
                <c:pt idx="40">
                  <c:v>70.2</c:v>
                </c:pt>
                <c:pt idx="41">
                  <c:v>72</c:v>
                </c:pt>
                <c:pt idx="42">
                  <c:v>74.7</c:v>
                </c:pt>
                <c:pt idx="43">
                  <c:v>75.60000000000001</c:v>
                </c:pt>
                <c:pt idx="44">
                  <c:v>82.35</c:v>
                </c:pt>
                <c:pt idx="45">
                  <c:v>82.8</c:v>
                </c:pt>
                <c:pt idx="46">
                  <c:v>85.5</c:v>
                </c:pt>
                <c:pt idx="47">
                  <c:v>91.35000000000001</c:v>
                </c:pt>
                <c:pt idx="48">
                  <c:v>95.85</c:v>
                </c:pt>
                <c:pt idx="49">
                  <c:v>99</c:v>
                </c:pt>
                <c:pt idx="50">
                  <c:v>101.25</c:v>
                </c:pt>
                <c:pt idx="51">
                  <c:v>112.5</c:v>
                </c:pt>
                <c:pt idx="52">
                  <c:v>115.2</c:v>
                </c:pt>
                <c:pt idx="53">
                  <c:v>115.2</c:v>
                </c:pt>
                <c:pt idx="54">
                  <c:v>116.10000000000001</c:v>
                </c:pt>
                <c:pt idx="55">
                  <c:v>122.4</c:v>
                </c:pt>
                <c:pt idx="56">
                  <c:v>122.4</c:v>
                </c:pt>
                <c:pt idx="57">
                  <c:v>125.55000000000001</c:v>
                </c:pt>
                <c:pt idx="58">
                  <c:v>125.55000000000001</c:v>
                </c:pt>
                <c:pt idx="59">
                  <c:v>126</c:v>
                </c:pt>
                <c:pt idx="60">
                  <c:v>126</c:v>
                </c:pt>
                <c:pt idx="61">
                  <c:v>129.60000000000002</c:v>
                </c:pt>
                <c:pt idx="62">
                  <c:v>141.75</c:v>
                </c:pt>
                <c:pt idx="63">
                  <c:v>150.75</c:v>
                </c:pt>
                <c:pt idx="64">
                  <c:v>154.8</c:v>
                </c:pt>
                <c:pt idx="65">
                  <c:v>160.65</c:v>
                </c:pt>
                <c:pt idx="66">
                  <c:v>162</c:v>
                </c:pt>
                <c:pt idx="67">
                  <c:v>171</c:v>
                </c:pt>
                <c:pt idx="68">
                  <c:v>175.5</c:v>
                </c:pt>
                <c:pt idx="69">
                  <c:v>184.5</c:v>
                </c:pt>
                <c:pt idx="70">
                  <c:v>194.4</c:v>
                </c:pt>
                <c:pt idx="71">
                  <c:v>195.3</c:v>
                </c:pt>
                <c:pt idx="72">
                  <c:v>198</c:v>
                </c:pt>
                <c:pt idx="73">
                  <c:v>200.25000000000003</c:v>
                </c:pt>
                <c:pt idx="74">
                  <c:v>211.50000000000003</c:v>
                </c:pt>
                <c:pt idx="75">
                  <c:v>212.4</c:v>
                </c:pt>
                <c:pt idx="76">
                  <c:v>214.65</c:v>
                </c:pt>
                <c:pt idx="77">
                  <c:v>225</c:v>
                </c:pt>
                <c:pt idx="78">
                  <c:v>226.79999999999998</c:v>
                </c:pt>
                <c:pt idx="79">
                  <c:v>230.85000000000002</c:v>
                </c:pt>
                <c:pt idx="80">
                  <c:v>234.89999999999998</c:v>
                </c:pt>
                <c:pt idx="81">
                  <c:v>248.39999999999998</c:v>
                </c:pt>
                <c:pt idx="82">
                  <c:v>264.6</c:v>
                </c:pt>
                <c:pt idx="83">
                  <c:v>270</c:v>
                </c:pt>
                <c:pt idx="84">
                  <c:v>273.6</c:v>
                </c:pt>
                <c:pt idx="85">
                  <c:v>283.5</c:v>
                </c:pt>
                <c:pt idx="86">
                  <c:v>297</c:v>
                </c:pt>
                <c:pt idx="87">
                  <c:v>299.25</c:v>
                </c:pt>
                <c:pt idx="88">
                  <c:v>303.75</c:v>
                </c:pt>
                <c:pt idx="89">
                  <c:v>310.5</c:v>
                </c:pt>
                <c:pt idx="90">
                  <c:v>315.90000000000003</c:v>
                </c:pt>
                <c:pt idx="91">
                  <c:v>319.95000000000005</c:v>
                </c:pt>
                <c:pt idx="92">
                  <c:v>324</c:v>
                </c:pt>
                <c:pt idx="93">
                  <c:v>332.09999999999997</c:v>
                </c:pt>
                <c:pt idx="94">
                  <c:v>382.5</c:v>
                </c:pt>
                <c:pt idx="95">
                  <c:v>392.84999999999997</c:v>
                </c:pt>
                <c:pt idx="96">
                  <c:v>396</c:v>
                </c:pt>
                <c:pt idx="97">
                  <c:v>405</c:v>
                </c:pt>
                <c:pt idx="98">
                  <c:v>409.5</c:v>
                </c:pt>
                <c:pt idx="99">
                  <c:v>423.00000000000006</c:v>
                </c:pt>
              </c:numCache>
            </c:numRef>
          </c:val>
        </c:ser>
        <c:gapWidth val="100"/>
        <c:axId val="8290378"/>
        <c:axId val="7504539"/>
      </c:barChart>
      <c:catAx>
        <c:axId val="8290378"/>
        <c:scaling>
          <c:orientation val="minMax"/>
        </c:scaling>
        <c:axPos val="b"/>
        <c:delete val="0"/>
        <c:numFmt formatCode="General" sourceLinked="1"/>
        <c:majorTickMark val="out"/>
        <c:minorTickMark val="none"/>
        <c:tickLblPos val="nextTo"/>
        <c:crossAx val="7504539"/>
        <c:crosses val="autoZero"/>
        <c:auto val="1"/>
        <c:lblOffset val="100"/>
        <c:tickLblSkip val="1000"/>
        <c:tickMarkSkip val="1000"/>
        <c:noMultiLvlLbl val="0"/>
      </c:catAx>
      <c:valAx>
        <c:axId val="7504539"/>
        <c:scaling>
          <c:orientation val="minMax"/>
        </c:scaling>
        <c:axPos val="l"/>
        <c:majorGridlines/>
        <c:delete val="0"/>
        <c:numFmt formatCode="General" sourceLinked="1"/>
        <c:majorTickMark val="out"/>
        <c:minorTickMark val="none"/>
        <c:tickLblPos val="nextTo"/>
        <c:crossAx val="8290378"/>
        <c:crossesAt val="1"/>
        <c:crossBetween val="between"/>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2725"/>
          <c:w val="0.88625"/>
          <c:h val="0.854"/>
        </c:manualLayout>
      </c:layout>
      <c:barChart>
        <c:barDir val="col"/>
        <c:grouping val="stacked"/>
        <c:varyColors val="0"/>
        <c:ser>
          <c:idx val="0"/>
          <c:order val="0"/>
          <c:tx>
            <c:strRef>
              <c:f>'Задача2-П3(КZ высок)'!$G$39</c:f>
              <c:strCache>
                <c:ptCount val="1"/>
                <c:pt idx="0">
                  <c:v>PSN</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dPt>
            <c:idx val="49"/>
            <c:invertIfNegative val="0"/>
            <c:spPr>
              <a:solidFill>
                <a:srgbClr val="339966"/>
              </a:solidFill>
              <a:ln w="3175">
                <a:noFill/>
              </a:ln>
            </c:spPr>
          </c:dPt>
          <c:dPt>
            <c:idx val="69"/>
            <c:invertIfNegative val="0"/>
            <c:spPr>
              <a:solidFill>
                <a:srgbClr val="339966"/>
              </a:solidFill>
              <a:ln w="3175">
                <a:noFill/>
              </a:ln>
            </c:spPr>
          </c:dPt>
          <c:dPt>
            <c:idx val="75"/>
            <c:invertIfNegative val="0"/>
            <c:spPr>
              <a:solidFill>
                <a:srgbClr val="339966"/>
              </a:solidFill>
              <a:ln w="3175">
                <a:noFill/>
              </a:ln>
            </c:spPr>
          </c:dPt>
          <c:dPt>
            <c:idx val="94"/>
            <c:invertIfNegative val="0"/>
            <c:spPr>
              <a:solidFill>
                <a:srgbClr val="339966"/>
              </a:solidFill>
              <a:ln w="3175">
                <a:noFill/>
              </a:ln>
            </c:spPr>
          </c:dPt>
          <c:val>
            <c:numRef>
              <c:f>'Задача2-П3(КZ высок)'!$G$40:$G$139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0.602512340316619</c:v>
                </c:pt>
                <c:pt idx="15">
                  <c:v>0.9640197445065906</c:v>
                </c:pt>
                <c:pt idx="16">
                  <c:v>0.9640197445065906</c:v>
                </c:pt>
                <c:pt idx="17">
                  <c:v>1.8075370209498571</c:v>
                </c:pt>
                <c:pt idx="18">
                  <c:v>3.3740691057730667</c:v>
                </c:pt>
                <c:pt idx="19">
                  <c:v>6.6843072065284925</c:v>
                </c:pt>
                <c:pt idx="20">
                  <c:v>4.338088850279657</c:v>
                </c:pt>
                <c:pt idx="21">
                  <c:v>6.145625871229515</c:v>
                </c:pt>
                <c:pt idx="22">
                  <c:v>6.7481382115461335</c:v>
                </c:pt>
                <c:pt idx="23">
                  <c:v>6.989143147672782</c:v>
                </c:pt>
                <c:pt idx="24">
                  <c:v>7.2301480837994285</c:v>
                </c:pt>
                <c:pt idx="25">
                  <c:v>9.640197445065905</c:v>
                </c:pt>
                <c:pt idx="26">
                  <c:v>9.640197445065905</c:v>
                </c:pt>
                <c:pt idx="27">
                  <c:v>9.640197445065905</c:v>
                </c:pt>
                <c:pt idx="28">
                  <c:v>9.325303127223721</c:v>
                </c:pt>
                <c:pt idx="29">
                  <c:v>9.76069991312923</c:v>
                </c:pt>
                <c:pt idx="30">
                  <c:v>11.568236934079087</c:v>
                </c:pt>
                <c:pt idx="31">
                  <c:v>11.568236934079087</c:v>
                </c:pt>
                <c:pt idx="32">
                  <c:v>12.532256678585679</c:v>
                </c:pt>
                <c:pt idx="33">
                  <c:v>12.652759146649002</c:v>
                </c:pt>
                <c:pt idx="34">
                  <c:v>13.857783827282239</c:v>
                </c:pt>
                <c:pt idx="35">
                  <c:v>14.098788763408887</c:v>
                </c:pt>
                <c:pt idx="36">
                  <c:v>14.460296167598857</c:v>
                </c:pt>
                <c:pt idx="37">
                  <c:v>15.183310975978799</c:v>
                </c:pt>
                <c:pt idx="38">
                  <c:v>17.7138628053086</c:v>
                </c:pt>
                <c:pt idx="39">
                  <c:v>17.834365273371926</c:v>
                </c:pt>
                <c:pt idx="40">
                  <c:v>18.798385017878516</c:v>
                </c:pt>
                <c:pt idx="41">
                  <c:v>19.28039489013181</c:v>
                </c:pt>
                <c:pt idx="42">
                  <c:v>20.003409698511753</c:v>
                </c:pt>
                <c:pt idx="43">
                  <c:v>20.244414634638403</c:v>
                </c:pt>
                <c:pt idx="44">
                  <c:v>22.051951655588258</c:v>
                </c:pt>
                <c:pt idx="45">
                  <c:v>22.17245412365158</c:v>
                </c:pt>
                <c:pt idx="46">
                  <c:v>22.895468932031523</c:v>
                </c:pt>
                <c:pt idx="47">
                  <c:v>24.462001016854735</c:v>
                </c:pt>
                <c:pt idx="48">
                  <c:v>25.667025697487972</c:v>
                </c:pt>
                <c:pt idx="49">
                  <c:v>31.627423222815</c:v>
                </c:pt>
                <c:pt idx="50">
                  <c:v>27.11305531424786</c:v>
                </c:pt>
                <c:pt idx="51">
                  <c:v>30.125617015830954</c:v>
                </c:pt>
                <c:pt idx="52">
                  <c:v>30.848631824210898</c:v>
                </c:pt>
                <c:pt idx="53">
                  <c:v>20.18321997601622</c:v>
                </c:pt>
                <c:pt idx="54">
                  <c:v>31.089636760337548</c:v>
                </c:pt>
                <c:pt idx="55">
                  <c:v>34.773583246865456</c:v>
                </c:pt>
                <c:pt idx="56">
                  <c:v>32.77667131322408</c:v>
                </c:pt>
                <c:pt idx="57">
                  <c:v>33.62018858966735</c:v>
                </c:pt>
                <c:pt idx="58">
                  <c:v>33.62018858966735</c:v>
                </c:pt>
                <c:pt idx="59">
                  <c:v>17.16804775960749</c:v>
                </c:pt>
                <c:pt idx="60">
                  <c:v>33.740691057730665</c:v>
                </c:pt>
                <c:pt idx="61">
                  <c:v>34.704710802237265</c:v>
                </c:pt>
                <c:pt idx="62">
                  <c:v>37.958277439947004</c:v>
                </c:pt>
                <c:pt idx="63">
                  <c:v>40.36832680121348</c:v>
                </c:pt>
                <c:pt idx="64">
                  <c:v>41.45284901378339</c:v>
                </c:pt>
                <c:pt idx="65">
                  <c:v>43.0193810986066</c:v>
                </c:pt>
                <c:pt idx="66">
                  <c:v>43.38088850279657</c:v>
                </c:pt>
                <c:pt idx="67">
                  <c:v>45.79093786406305</c:v>
                </c:pt>
                <c:pt idx="68">
                  <c:v>46.99596254469629</c:v>
                </c:pt>
                <c:pt idx="69">
                  <c:v>64.48404705633187</c:v>
                </c:pt>
                <c:pt idx="70">
                  <c:v>52.05706620335589</c:v>
                </c:pt>
                <c:pt idx="71">
                  <c:v>52.29807113948254</c:v>
                </c:pt>
                <c:pt idx="72">
                  <c:v>53.02108594786248</c:v>
                </c:pt>
                <c:pt idx="73">
                  <c:v>53.6235982881791</c:v>
                </c:pt>
                <c:pt idx="74">
                  <c:v>32.798142927636896</c:v>
                </c:pt>
                <c:pt idx="75">
                  <c:v>69.60258916298118</c:v>
                </c:pt>
                <c:pt idx="76">
                  <c:v>34.007120009191844</c:v>
                </c:pt>
                <c:pt idx="77">
                  <c:v>60.25123403166191</c:v>
                </c:pt>
                <c:pt idx="78">
                  <c:v>60.733243903915195</c:v>
                </c:pt>
                <c:pt idx="79">
                  <c:v>61.817766116485124</c:v>
                </c:pt>
                <c:pt idx="80">
                  <c:v>62.902288329055025</c:v>
                </c:pt>
                <c:pt idx="81">
                  <c:v>66.51736237095474</c:v>
                </c:pt>
                <c:pt idx="82">
                  <c:v>106.39212952148358</c:v>
                </c:pt>
                <c:pt idx="83">
                  <c:v>105.3120679381441</c:v>
                </c:pt>
                <c:pt idx="84">
                  <c:v>73.26550058250089</c:v>
                </c:pt>
                <c:pt idx="85">
                  <c:v>75.91655487989401</c:v>
                </c:pt>
                <c:pt idx="86">
                  <c:v>57.216858435292906</c:v>
                </c:pt>
                <c:pt idx="87">
                  <c:v>80.13414126211033</c:v>
                </c:pt>
                <c:pt idx="88">
                  <c:v>81.33916594274358</c:v>
                </c:pt>
                <c:pt idx="89">
                  <c:v>83.14670296369343</c:v>
                </c:pt>
                <c:pt idx="90">
                  <c:v>62.049947654787736</c:v>
                </c:pt>
                <c:pt idx="91">
                  <c:v>150.01836909882198</c:v>
                </c:pt>
                <c:pt idx="92">
                  <c:v>43.81432617209398</c:v>
                </c:pt>
                <c:pt idx="93">
                  <c:v>88.93082143073296</c:v>
                </c:pt>
                <c:pt idx="94">
                  <c:v>89.55906452217992</c:v>
                </c:pt>
                <c:pt idx="95">
                  <c:v>58.33973401661771</c:v>
                </c:pt>
                <c:pt idx="96">
                  <c:v>106.04217189572496</c:v>
                </c:pt>
                <c:pt idx="97">
                  <c:v>108.45222125699144</c:v>
                </c:pt>
                <c:pt idx="98">
                  <c:v>58.94411316372592</c:v>
                </c:pt>
                <c:pt idx="99">
                  <c:v>113.2723199795244</c:v>
                </c:pt>
              </c:numCache>
            </c:numRef>
          </c:val>
        </c:ser>
        <c:ser>
          <c:idx val="1"/>
          <c:order val="1"/>
          <c:tx>
            <c:strRef>
              <c:f>'Задача2-П3(КZ высок)'!$H$39</c:f>
              <c:strCache>
                <c:ptCount val="1"/>
                <c:pt idx="0">
                  <c:v>PSR</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val>
            <c:numRef>
              <c:f>'Задача2-П3(КZ высок)'!$H$40:$H$139</c:f>
              <c:numCache>
                <c:ptCount val="100"/>
                <c:pt idx="0">
                  <c:v>579.6</c:v>
                </c:pt>
                <c:pt idx="1">
                  <c:v>316.8</c:v>
                </c:pt>
                <c:pt idx="2">
                  <c:v>587.25</c:v>
                </c:pt>
                <c:pt idx="3">
                  <c:v>309.15000000000003</c:v>
                </c:pt>
                <c:pt idx="4">
                  <c:v>594.9</c:v>
                </c:pt>
                <c:pt idx="5">
                  <c:v>382.5</c:v>
                </c:pt>
                <c:pt idx="6">
                  <c:v>642.6</c:v>
                </c:pt>
                <c:pt idx="7">
                  <c:v>787.95</c:v>
                </c:pt>
                <c:pt idx="8">
                  <c:v>246.6</c:v>
                </c:pt>
                <c:pt idx="9">
                  <c:v>862.65</c:v>
                </c:pt>
                <c:pt idx="10">
                  <c:v>624.6</c:v>
                </c:pt>
                <c:pt idx="11">
                  <c:v>218.70000000000002</c:v>
                </c:pt>
                <c:pt idx="12">
                  <c:v>865.35</c:v>
                </c:pt>
                <c:pt idx="13">
                  <c:v>169.65</c:v>
                </c:pt>
                <c:pt idx="14">
                  <c:v>575.3310862426325</c:v>
                </c:pt>
                <c:pt idx="15">
                  <c:v>154.01438849968775</c:v>
                </c:pt>
                <c:pt idx="16">
                  <c:v>260.6816816367641</c:v>
                </c:pt>
                <c:pt idx="17">
                  <c:v>693.4140986478116</c:v>
                </c:pt>
                <c:pt idx="18">
                  <c:v>262.16578820777414</c:v>
                </c:pt>
                <c:pt idx="19">
                  <c:v>0</c:v>
                </c:pt>
                <c:pt idx="20">
                  <c:v>518.1919021041738</c:v>
                </c:pt>
                <c:pt idx="21">
                  <c:v>449.3345297824523</c:v>
                </c:pt>
                <c:pt idx="22">
                  <c:v>688.9192255257167</c:v>
                </c:pt>
                <c:pt idx="23">
                  <c:v>372.54769541922764</c:v>
                </c:pt>
                <c:pt idx="24">
                  <c:v>895.5571988091183</c:v>
                </c:pt>
                <c:pt idx="25">
                  <c:v>151.00471695541307</c:v>
                </c:pt>
                <c:pt idx="26">
                  <c:v>506.05176429650584</c:v>
                </c:pt>
                <c:pt idx="27">
                  <c:v>521.7330030624596</c:v>
                </c:pt>
                <c:pt idx="28">
                  <c:v>0</c:v>
                </c:pt>
                <c:pt idx="29">
                  <c:v>198.75489424229144</c:v>
                </c:pt>
                <c:pt idx="30">
                  <c:v>874.6749660624638</c:v>
                </c:pt>
                <c:pt idx="31">
                  <c:v>740.0685039515998</c:v>
                </c:pt>
                <c:pt idx="32">
                  <c:v>249.65419359986402</c:v>
                </c:pt>
                <c:pt idx="33">
                  <c:v>102.03915958860073</c:v>
                </c:pt>
                <c:pt idx="34">
                  <c:v>317.7747018177539</c:v>
                </c:pt>
                <c:pt idx="35">
                  <c:v>437.1638408618626</c:v>
                </c:pt>
                <c:pt idx="36">
                  <c:v>33.2766364345102</c:v>
                </c:pt>
                <c:pt idx="37">
                  <c:v>819.765830410504</c:v>
                </c:pt>
                <c:pt idx="38">
                  <c:v>687.9886929158891</c:v>
                </c:pt>
                <c:pt idx="39">
                  <c:v>636.020990269797</c:v>
                </c:pt>
                <c:pt idx="40">
                  <c:v>624.6375111755416</c:v>
                </c:pt>
                <c:pt idx="41">
                  <c:v>61.46586278187511</c:v>
                </c:pt>
                <c:pt idx="42">
                  <c:v>427.55079981613926</c:v>
                </c:pt>
                <c:pt idx="43">
                  <c:v>378.87024362401627</c:v>
                </c:pt>
                <c:pt idx="44">
                  <c:v>445.20646044280033</c:v>
                </c:pt>
                <c:pt idx="45">
                  <c:v>140.7436303874677</c:v>
                </c:pt>
                <c:pt idx="46">
                  <c:v>845.8334011535394</c:v>
                </c:pt>
                <c:pt idx="47">
                  <c:v>194.812621663774</c:v>
                </c:pt>
                <c:pt idx="48">
                  <c:v>186.60448961337795</c:v>
                </c:pt>
                <c:pt idx="49">
                  <c:v>0</c:v>
                </c:pt>
                <c:pt idx="50">
                  <c:v>558.1061835972969</c:v>
                </c:pt>
                <c:pt idx="51">
                  <c:v>877.0810086710092</c:v>
                </c:pt>
                <c:pt idx="52">
                  <c:v>726.5868293965317</c:v>
                </c:pt>
                <c:pt idx="53">
                  <c:v>0</c:v>
                </c:pt>
                <c:pt idx="54">
                  <c:v>772.6482203825117</c:v>
                </c:pt>
                <c:pt idx="55">
                  <c:v>0</c:v>
                </c:pt>
                <c:pt idx="56">
                  <c:v>729.9669477997938</c:v>
                </c:pt>
                <c:pt idx="57">
                  <c:v>874.802195828114</c:v>
                </c:pt>
                <c:pt idx="58">
                  <c:v>682.1524020401462</c:v>
                </c:pt>
                <c:pt idx="59">
                  <c:v>0</c:v>
                </c:pt>
                <c:pt idx="60">
                  <c:v>54.0623644354932</c:v>
                </c:pt>
                <c:pt idx="61">
                  <c:v>246.67334095130994</c:v>
                </c:pt>
                <c:pt idx="62">
                  <c:v>90.16002895598822</c:v>
                </c:pt>
                <c:pt idx="63">
                  <c:v>305.68349498895475</c:v>
                </c:pt>
                <c:pt idx="64">
                  <c:v>0</c:v>
                </c:pt>
                <c:pt idx="65">
                  <c:v>667.6189579273477</c:v>
                </c:pt>
                <c:pt idx="66">
                  <c:v>127.39875906740085</c:v>
                </c:pt>
                <c:pt idx="67">
                  <c:v>802.1698037534952</c:v>
                </c:pt>
                <c:pt idx="68">
                  <c:v>84.4705434503345</c:v>
                </c:pt>
                <c:pt idx="69">
                  <c:v>0</c:v>
                </c:pt>
                <c:pt idx="70">
                  <c:v>128.10321833083884</c:v>
                </c:pt>
                <c:pt idx="71">
                  <c:v>797.6762094571819</c:v>
                </c:pt>
                <c:pt idx="72">
                  <c:v>850.2492129223899</c:v>
                </c:pt>
                <c:pt idx="73">
                  <c:v>540.9901356226575</c:v>
                </c:pt>
                <c:pt idx="74">
                  <c:v>0</c:v>
                </c:pt>
                <c:pt idx="75">
                  <c:v>0</c:v>
                </c:pt>
                <c:pt idx="76">
                  <c:v>0</c:v>
                </c:pt>
                <c:pt idx="77">
                  <c:v>863.2067054433351</c:v>
                </c:pt>
                <c:pt idx="78">
                  <c:v>844.0854900596861</c:v>
                </c:pt>
                <c:pt idx="79">
                  <c:v>754.4755519084525</c:v>
                </c:pt>
                <c:pt idx="80">
                  <c:v>754.2530110814702</c:v>
                </c:pt>
                <c:pt idx="81">
                  <c:v>230.6734753274913</c:v>
                </c:pt>
                <c:pt idx="82">
                  <c:v>0</c:v>
                </c:pt>
                <c:pt idx="83">
                  <c:v>0</c:v>
                </c:pt>
                <c:pt idx="84">
                  <c:v>702.3597223848196</c:v>
                </c:pt>
                <c:pt idx="85">
                  <c:v>815.0501655822568</c:v>
                </c:pt>
                <c:pt idx="86">
                  <c:v>0</c:v>
                </c:pt>
                <c:pt idx="87">
                  <c:v>645.7438228259767</c:v>
                </c:pt>
                <c:pt idx="88">
                  <c:v>845.3435137519197</c:v>
                </c:pt>
                <c:pt idx="89">
                  <c:v>845.2248559555258</c:v>
                </c:pt>
                <c:pt idx="90">
                  <c:v>0</c:v>
                </c:pt>
                <c:pt idx="91">
                  <c:v>0</c:v>
                </c:pt>
                <c:pt idx="92">
                  <c:v>0</c:v>
                </c:pt>
                <c:pt idx="93">
                  <c:v>777.0625752880286</c:v>
                </c:pt>
                <c:pt idx="94">
                  <c:v>0</c:v>
                </c:pt>
                <c:pt idx="95">
                  <c:v>0</c:v>
                </c:pt>
                <c:pt idx="96">
                  <c:v>818.9188917772268</c:v>
                </c:pt>
                <c:pt idx="97">
                  <c:v>814.7930936640414</c:v>
                </c:pt>
                <c:pt idx="98">
                  <c:v>0</c:v>
                </c:pt>
                <c:pt idx="99">
                  <c:v>830.8131846293066</c:v>
                </c:pt>
              </c:numCache>
            </c:numRef>
          </c:val>
        </c:ser>
        <c:overlap val="100"/>
        <c:gapWidth val="100"/>
        <c:axId val="431988"/>
        <c:axId val="3887893"/>
      </c:barChart>
      <c:catAx>
        <c:axId val="431988"/>
        <c:scaling>
          <c:orientation val="minMax"/>
        </c:scaling>
        <c:axPos val="b"/>
        <c:delete val="0"/>
        <c:numFmt formatCode="General" sourceLinked="1"/>
        <c:majorTickMark val="out"/>
        <c:minorTickMark val="none"/>
        <c:tickLblPos val="nextTo"/>
        <c:crossAx val="3887893"/>
        <c:crosses val="autoZero"/>
        <c:auto val="1"/>
        <c:lblOffset val="100"/>
        <c:tickLblSkip val="1000"/>
        <c:tickMarkSkip val="1000"/>
        <c:noMultiLvlLbl val="0"/>
      </c:catAx>
      <c:valAx>
        <c:axId val="3887893"/>
        <c:scaling>
          <c:orientation val="minMax"/>
        </c:scaling>
        <c:axPos val="l"/>
        <c:majorGridlines/>
        <c:delete val="0"/>
        <c:numFmt formatCode="0" sourceLinked="0"/>
        <c:majorTickMark val="out"/>
        <c:minorTickMark val="none"/>
        <c:tickLblPos val="nextTo"/>
        <c:crossAx val="431988"/>
        <c:crossesAt val="1"/>
        <c:crossBetween val="between"/>
        <c:dispUnits/>
      </c:valAx>
      <c:spPr>
        <a:solidFill>
          <a:srgbClr val="FFFFFF"/>
        </a:solidFill>
        <a:ln w="12700">
          <a:solidFill>
            <a:srgbClr val="808080"/>
          </a:solidFill>
        </a:ln>
      </c:spPr>
    </c:plotArea>
    <c:legend>
      <c:legendPos val="t"/>
      <c:layout>
        <c:manualLayout>
          <c:xMode val="edge"/>
          <c:yMode val="edge"/>
          <c:x val="0.89975"/>
          <c:y val="0.005"/>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15"/>
          <c:w val="0.92025"/>
          <c:h val="0.977"/>
        </c:manualLayout>
      </c:layout>
      <c:scatterChart>
        <c:scatterStyle val="lineMarker"/>
        <c:varyColors val="0"/>
        <c:ser>
          <c:idx val="0"/>
          <c:order val="0"/>
          <c:tx>
            <c:strRef>
              <c:f>'Задача2-П3(КZ высок)'!$E$39</c:f>
              <c:strCache>
                <c:ptCount val="1"/>
                <c:pt idx="0">
                  <c:v>Z=PS/PB</c:v>
                </c:pt>
              </c:strCache>
            </c:strRef>
          </c:tx>
          <c:spPr>
            <a:ln w="3175">
              <a:noFill/>
            </a:ln>
          </c:spPr>
          <c:extLst>
            <c:ext xmlns:c14="http://schemas.microsoft.com/office/drawing/2007/8/2/chart" uri="{6F2FDCE9-48DA-4B69-8628-5D25D57E5C99}">
              <c14:invertSolidFillFmt>
                <c14:spPr>
                  <a:solidFill>
                    <a:srgbClr val="9999FF"/>
                  </a:solidFill>
                </c14:spPr>
              </c14:invertSolidFillFmt>
            </c:ext>
          </c:extLst>
          <c:marker>
            <c:symbol val="dot"/>
            <c:size val="5"/>
            <c:spPr>
              <a:solidFill>
                <a:srgbClr val="000080"/>
              </a:solidFill>
              <a:ln>
                <a:solidFill>
                  <a:srgbClr val="000080"/>
                </a:solidFill>
              </a:ln>
            </c:spPr>
          </c:marker>
          <c:yVal>
            <c:numRef>
              <c:f>'Задача2-П3(КZ высок)'!$E$40:$E$139</c:f>
              <c:numCach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255.97048825908848</c:v>
                </c:pt>
                <c:pt idx="15">
                  <c:v>43.04955784560954</c:v>
                </c:pt>
                <c:pt idx="16">
                  <c:v>72.6793614947974</c:v>
                </c:pt>
                <c:pt idx="17">
                  <c:v>102.99579787685354</c:v>
                </c:pt>
                <c:pt idx="18">
                  <c:v>21.074591850281525</c:v>
                </c:pt>
                <c:pt idx="19">
                  <c:v>0.4951338671502587</c:v>
                </c:pt>
                <c:pt idx="20">
                  <c:v>32.254937713237865</c:v>
                </c:pt>
                <c:pt idx="21">
                  <c:v>19.84662987597742</c:v>
                </c:pt>
                <c:pt idx="22">
                  <c:v>27.6058477673517</c:v>
                </c:pt>
                <c:pt idx="23">
                  <c:v>14.541641324402315</c:v>
                </c:pt>
                <c:pt idx="24">
                  <c:v>33.4365684034414</c:v>
                </c:pt>
                <c:pt idx="25">
                  <c:v>4.462358733346638</c:v>
                </c:pt>
                <c:pt idx="26">
                  <c:v>14.32477671504366</c:v>
                </c:pt>
                <c:pt idx="27">
                  <c:v>14.760366680764598</c:v>
                </c:pt>
                <c:pt idx="28">
                  <c:v>0.25583822022561653</c:v>
                </c:pt>
                <c:pt idx="29">
                  <c:v>5.72059243224748</c:v>
                </c:pt>
                <c:pt idx="30">
                  <c:v>20.514888958253305</c:v>
                </c:pt>
                <c:pt idx="31">
                  <c:v>17.398998631612937</c:v>
                </c:pt>
                <c:pt idx="32">
                  <c:v>5.602274578599352</c:v>
                </c:pt>
                <c:pt idx="33">
                  <c:v>2.4273421954550205</c:v>
                </c:pt>
                <c:pt idx="34">
                  <c:v>6.408357210532099</c:v>
                </c:pt>
                <c:pt idx="35">
                  <c:v>8.570990116339438</c:v>
                </c:pt>
                <c:pt idx="36">
                  <c:v>0.884017270409427</c:v>
                </c:pt>
                <c:pt idx="37">
                  <c:v>14.725734415987352</c:v>
                </c:pt>
                <c:pt idx="38">
                  <c:v>10.668217017705182</c:v>
                </c:pt>
                <c:pt idx="39">
                  <c:v>9.817647981128662</c:v>
                </c:pt>
                <c:pt idx="40">
                  <c:v>9.165753507028777</c:v>
                </c:pt>
                <c:pt idx="41">
                  <c:v>1.121475801000096</c:v>
                </c:pt>
                <c:pt idx="42">
                  <c:v>5.991354879714203</c:v>
                </c:pt>
                <c:pt idx="43">
                  <c:v>5.279294421410776</c:v>
                </c:pt>
                <c:pt idx="44">
                  <c:v>5.674054791722995</c:v>
                </c:pt>
                <c:pt idx="45">
                  <c:v>1.9675855617284939</c:v>
                </c:pt>
                <c:pt idx="46">
                  <c:v>10.160571579948199</c:v>
                </c:pt>
                <c:pt idx="47">
                  <c:v>2.4003790112821974</c:v>
                </c:pt>
                <c:pt idx="48">
                  <c:v>2.214621964641272</c:v>
                </c:pt>
                <c:pt idx="49">
                  <c:v>0.31946892144257577</c:v>
                </c:pt>
                <c:pt idx="50">
                  <c:v>5.779943100360936</c:v>
                </c:pt>
                <c:pt idx="51">
                  <c:v>8.064058894994133</c:v>
                </c:pt>
                <c:pt idx="52">
                  <c:v>6.574960600874501</c:v>
                </c:pt>
                <c:pt idx="53">
                  <c:v>0.17520156229180744</c:v>
                </c:pt>
                <c:pt idx="54">
                  <c:v>6.922806693736857</c:v>
                </c:pt>
                <c:pt idx="55">
                  <c:v>0.284097902343672</c:v>
                </c:pt>
                <c:pt idx="56">
                  <c:v>6.231565515629231</c:v>
                </c:pt>
                <c:pt idx="57">
                  <c:v>7.235542687517174</c:v>
                </c:pt>
                <c:pt idx="58">
                  <c:v>5.7010959030650215</c:v>
                </c:pt>
                <c:pt idx="59">
                  <c:v>0.13625434729847213</c:v>
                </c:pt>
                <c:pt idx="60">
                  <c:v>0.696849646771618</c:v>
                </c:pt>
                <c:pt idx="61">
                  <c:v>2.171126942542802</c:v>
                </c:pt>
                <c:pt idx="62">
                  <c:v>0.9038328493540405</c:v>
                </c:pt>
                <c:pt idx="63">
                  <c:v>2.2955344729032716</c:v>
                </c:pt>
                <c:pt idx="64">
                  <c:v>2.663429702482082</c:v>
                </c:pt>
                <c:pt idx="65">
                  <c:v>4.423519072679453</c:v>
                </c:pt>
                <c:pt idx="66">
                  <c:v>1.054195355371589</c:v>
                </c:pt>
                <c:pt idx="67">
                  <c:v>4.95883474630151</c:v>
                </c:pt>
                <c:pt idx="68">
                  <c:v>0.7490969002565857</c:v>
                </c:pt>
                <c:pt idx="69">
                  <c:v>0.3495070301156199</c:v>
                </c:pt>
                <c:pt idx="70">
                  <c:v>0.9267504348466807</c:v>
                </c:pt>
                <c:pt idx="71">
                  <c:v>4.352146854053581</c:v>
                </c:pt>
                <c:pt idx="72">
                  <c:v>4.561971206415416</c:v>
                </c:pt>
                <c:pt idx="73">
                  <c:v>2.9693569733375105</c:v>
                </c:pt>
                <c:pt idx="74">
                  <c:v>0.15507396183279853</c:v>
                </c:pt>
                <c:pt idx="75">
                  <c:v>0.3276958058520771</c:v>
                </c:pt>
                <c:pt idx="76">
                  <c:v>0.15843056142181153</c:v>
                </c:pt>
                <c:pt idx="77">
                  <c:v>4.104257508777764</c:v>
                </c:pt>
                <c:pt idx="78">
                  <c:v>3.9895005906684364</c:v>
                </c:pt>
                <c:pt idx="79">
                  <c:v>3.536033433073154</c:v>
                </c:pt>
                <c:pt idx="80">
                  <c:v>3.4787369068136456</c:v>
                </c:pt>
                <c:pt idx="81">
                  <c:v>1.1964204416201534</c:v>
                </c:pt>
                <c:pt idx="82">
                  <c:v>0.40208665729963555</c:v>
                </c:pt>
                <c:pt idx="83">
                  <c:v>0.3900446960672004</c:v>
                </c:pt>
                <c:pt idx="84">
                  <c:v>2.834887510845469</c:v>
                </c:pt>
                <c:pt idx="85">
                  <c:v>3.142739754716581</c:v>
                </c:pt>
                <c:pt idx="86">
                  <c:v>0.1926493550009862</c:v>
                </c:pt>
                <c:pt idx="87">
                  <c:v>2.4256573570195057</c:v>
                </c:pt>
                <c:pt idx="88">
                  <c:v>3.0508071759495086</c:v>
                </c:pt>
                <c:pt idx="89">
                  <c:v>2.989924505375907</c:v>
                </c:pt>
                <c:pt idx="90">
                  <c:v>0.19642275294329767</c:v>
                </c:pt>
                <c:pt idx="91">
                  <c:v>0.46888066603788703</c:v>
                </c:pt>
                <c:pt idx="92">
                  <c:v>0.13522940176572215</c:v>
                </c:pt>
                <c:pt idx="93">
                  <c:v>2.6076284152928686</c:v>
                </c:pt>
                <c:pt idx="94">
                  <c:v>0.23414134515602594</c:v>
                </c:pt>
                <c:pt idx="95">
                  <c:v>0.1485038412030488</c:v>
                </c:pt>
                <c:pt idx="96">
                  <c:v>2.335760261800383</c:v>
                </c:pt>
                <c:pt idx="97">
                  <c:v>2.2796180615334145</c:v>
                </c:pt>
                <c:pt idx="98">
                  <c:v>0.143941668287487</c:v>
                </c:pt>
                <c:pt idx="99">
                  <c:v>2.2318806255527917</c:v>
                </c:pt>
              </c:numCache>
            </c:numRef>
          </c:yVal>
          <c:smooth val="0"/>
        </c:ser>
        <c:ser>
          <c:idx val="1"/>
          <c:order val="1"/>
          <c:tx>
            <c:v>Z1</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'Задача2-П3(КZ высок)'!$J$40:$J$139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ser>
          <c:idx val="2"/>
          <c:order val="2"/>
          <c:tx>
            <c:v>Z2</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'Задача2-П3(КZ высок)'!$K$40:$K$139</c:f>
              <c:numCache>
                <c:ptCount val="100"/>
                <c:pt idx="0">
                  <c:v>0.6096687453121652</c:v>
                </c:pt>
                <c:pt idx="1">
                  <c:v>0.6096687453121652</c:v>
                </c:pt>
                <c:pt idx="2">
                  <c:v>0.6096687453121652</c:v>
                </c:pt>
                <c:pt idx="3">
                  <c:v>0.6096687453121652</c:v>
                </c:pt>
                <c:pt idx="4">
                  <c:v>0.6096687453121652</c:v>
                </c:pt>
                <c:pt idx="5">
                  <c:v>0.6096687453121652</c:v>
                </c:pt>
                <c:pt idx="6">
                  <c:v>0.6096687453121652</c:v>
                </c:pt>
                <c:pt idx="7">
                  <c:v>0.6096687453121652</c:v>
                </c:pt>
                <c:pt idx="8">
                  <c:v>0.6096687453121652</c:v>
                </c:pt>
                <c:pt idx="9">
                  <c:v>0.6096687453121652</c:v>
                </c:pt>
                <c:pt idx="10">
                  <c:v>0.6096687453121652</c:v>
                </c:pt>
                <c:pt idx="11">
                  <c:v>0.6096687453121652</c:v>
                </c:pt>
                <c:pt idx="12">
                  <c:v>0.6096687453121652</c:v>
                </c:pt>
                <c:pt idx="13">
                  <c:v>0.6096687453121652</c:v>
                </c:pt>
                <c:pt idx="14">
                  <c:v>0.6096687453121652</c:v>
                </c:pt>
                <c:pt idx="15">
                  <c:v>0.6096687453121652</c:v>
                </c:pt>
                <c:pt idx="16">
                  <c:v>0.6096687453121652</c:v>
                </c:pt>
                <c:pt idx="17">
                  <c:v>0.6096687453121652</c:v>
                </c:pt>
                <c:pt idx="18">
                  <c:v>0.6096687453121652</c:v>
                </c:pt>
                <c:pt idx="19">
                  <c:v>0.6096687453121652</c:v>
                </c:pt>
                <c:pt idx="20">
                  <c:v>0.6096687453121652</c:v>
                </c:pt>
                <c:pt idx="21">
                  <c:v>0.6096687453121652</c:v>
                </c:pt>
                <c:pt idx="22">
                  <c:v>0.6096687453121652</c:v>
                </c:pt>
                <c:pt idx="23">
                  <c:v>0.6096687453121652</c:v>
                </c:pt>
                <c:pt idx="24">
                  <c:v>0.6096687453121652</c:v>
                </c:pt>
                <c:pt idx="25">
                  <c:v>0.6096687453121652</c:v>
                </c:pt>
                <c:pt idx="26">
                  <c:v>0.6096687453121652</c:v>
                </c:pt>
                <c:pt idx="27">
                  <c:v>0.6096687453121652</c:v>
                </c:pt>
                <c:pt idx="28">
                  <c:v>0.6096687453121652</c:v>
                </c:pt>
                <c:pt idx="29">
                  <c:v>0.6096687453121652</c:v>
                </c:pt>
                <c:pt idx="30">
                  <c:v>0.6096687453121652</c:v>
                </c:pt>
                <c:pt idx="31">
                  <c:v>0.6096687453121652</c:v>
                </c:pt>
                <c:pt idx="32">
                  <c:v>0.6096687453121652</c:v>
                </c:pt>
                <c:pt idx="33">
                  <c:v>0.6096687453121652</c:v>
                </c:pt>
                <c:pt idx="34">
                  <c:v>0.6096687453121652</c:v>
                </c:pt>
                <c:pt idx="35">
                  <c:v>0.6096687453121652</c:v>
                </c:pt>
                <c:pt idx="36">
                  <c:v>0.6096687453121652</c:v>
                </c:pt>
                <c:pt idx="37">
                  <c:v>0.6096687453121652</c:v>
                </c:pt>
                <c:pt idx="38">
                  <c:v>0.6096687453121652</c:v>
                </c:pt>
                <c:pt idx="39">
                  <c:v>0.6096687453121652</c:v>
                </c:pt>
                <c:pt idx="40">
                  <c:v>0.6096687453121652</c:v>
                </c:pt>
                <c:pt idx="41">
                  <c:v>0.6096687453121652</c:v>
                </c:pt>
                <c:pt idx="42">
                  <c:v>0.6096687453121652</c:v>
                </c:pt>
                <c:pt idx="43">
                  <c:v>0.6096687453121652</c:v>
                </c:pt>
                <c:pt idx="44">
                  <c:v>0.6096687453121652</c:v>
                </c:pt>
                <c:pt idx="45">
                  <c:v>0.6096687453121652</c:v>
                </c:pt>
                <c:pt idx="46">
                  <c:v>0.6096687453121652</c:v>
                </c:pt>
                <c:pt idx="47">
                  <c:v>0.6096687453121652</c:v>
                </c:pt>
                <c:pt idx="48">
                  <c:v>0.6096687453121652</c:v>
                </c:pt>
                <c:pt idx="49">
                  <c:v>0.6096687453121652</c:v>
                </c:pt>
                <c:pt idx="50">
                  <c:v>0.6096687453121652</c:v>
                </c:pt>
                <c:pt idx="51">
                  <c:v>0.6096687453121652</c:v>
                </c:pt>
                <c:pt idx="52">
                  <c:v>0.6096687453121652</c:v>
                </c:pt>
                <c:pt idx="53">
                  <c:v>0.6096687453121652</c:v>
                </c:pt>
                <c:pt idx="54">
                  <c:v>0.6096687453121652</c:v>
                </c:pt>
                <c:pt idx="55">
                  <c:v>0.6096687453121652</c:v>
                </c:pt>
                <c:pt idx="56">
                  <c:v>0.6096687453121652</c:v>
                </c:pt>
                <c:pt idx="57">
                  <c:v>0.6096687453121652</c:v>
                </c:pt>
                <c:pt idx="58">
                  <c:v>0.6096687453121652</c:v>
                </c:pt>
                <c:pt idx="59">
                  <c:v>0.6096687453121652</c:v>
                </c:pt>
                <c:pt idx="60">
                  <c:v>0.6096687453121652</c:v>
                </c:pt>
                <c:pt idx="61">
                  <c:v>0.6096687453121652</c:v>
                </c:pt>
                <c:pt idx="62">
                  <c:v>0.6096687453121652</c:v>
                </c:pt>
                <c:pt idx="63">
                  <c:v>0.6096687453121652</c:v>
                </c:pt>
                <c:pt idx="64">
                  <c:v>0.6096687453121652</c:v>
                </c:pt>
                <c:pt idx="65">
                  <c:v>0.6096687453121652</c:v>
                </c:pt>
                <c:pt idx="66">
                  <c:v>0.6096687453121652</c:v>
                </c:pt>
                <c:pt idx="67">
                  <c:v>0.6096687453121652</c:v>
                </c:pt>
                <c:pt idx="68">
                  <c:v>0.6096687453121652</c:v>
                </c:pt>
                <c:pt idx="69">
                  <c:v>0.6096687453121652</c:v>
                </c:pt>
                <c:pt idx="70">
                  <c:v>0.6096687453121652</c:v>
                </c:pt>
                <c:pt idx="71">
                  <c:v>0.6096687453121652</c:v>
                </c:pt>
                <c:pt idx="72">
                  <c:v>0.6096687453121652</c:v>
                </c:pt>
                <c:pt idx="73">
                  <c:v>0.6096687453121652</c:v>
                </c:pt>
                <c:pt idx="74">
                  <c:v>0.6096687453121652</c:v>
                </c:pt>
                <c:pt idx="75">
                  <c:v>0.6096687453121652</c:v>
                </c:pt>
                <c:pt idx="76">
                  <c:v>0.6096687453121652</c:v>
                </c:pt>
                <c:pt idx="77">
                  <c:v>0.6096687453121652</c:v>
                </c:pt>
                <c:pt idx="78">
                  <c:v>0.6096687453121652</c:v>
                </c:pt>
                <c:pt idx="79">
                  <c:v>0.6096687453121652</c:v>
                </c:pt>
                <c:pt idx="80">
                  <c:v>0.6096687453121652</c:v>
                </c:pt>
                <c:pt idx="81">
                  <c:v>0.6096687453121652</c:v>
                </c:pt>
                <c:pt idx="82">
                  <c:v>0.6096687453121652</c:v>
                </c:pt>
                <c:pt idx="83">
                  <c:v>0.6096687453121652</c:v>
                </c:pt>
                <c:pt idx="84">
                  <c:v>0.6096687453121652</c:v>
                </c:pt>
                <c:pt idx="85">
                  <c:v>0.6096687453121652</c:v>
                </c:pt>
                <c:pt idx="86">
                  <c:v>0.6096687453121652</c:v>
                </c:pt>
                <c:pt idx="87">
                  <c:v>0.6096687453121652</c:v>
                </c:pt>
                <c:pt idx="88">
                  <c:v>0.6096687453121652</c:v>
                </c:pt>
                <c:pt idx="89">
                  <c:v>0.6096687453121652</c:v>
                </c:pt>
                <c:pt idx="90">
                  <c:v>0.6096687453121652</c:v>
                </c:pt>
                <c:pt idx="91">
                  <c:v>0.6096687453121652</c:v>
                </c:pt>
                <c:pt idx="92">
                  <c:v>0.6096687453121652</c:v>
                </c:pt>
                <c:pt idx="93">
                  <c:v>0.6096687453121652</c:v>
                </c:pt>
                <c:pt idx="94">
                  <c:v>0.6096687453121652</c:v>
                </c:pt>
                <c:pt idx="95">
                  <c:v>0.6096687453121652</c:v>
                </c:pt>
                <c:pt idx="96">
                  <c:v>0.6096687453121652</c:v>
                </c:pt>
                <c:pt idx="97">
                  <c:v>0.6096687453121652</c:v>
                </c:pt>
                <c:pt idx="98">
                  <c:v>0.6096687453121652</c:v>
                </c:pt>
                <c:pt idx="99">
                  <c:v>0.6096687453121652</c:v>
                </c:pt>
              </c:numCache>
            </c:numRef>
          </c:yVal>
          <c:smooth val="0"/>
        </c:ser>
        <c:axId val="34991038"/>
        <c:axId val="46483887"/>
      </c:scatterChart>
      <c:valAx>
        <c:axId val="34991038"/>
        <c:scaling>
          <c:orientation val="minMax"/>
          <c:max val="101"/>
          <c:min val="1"/>
        </c:scaling>
        <c:axPos val="b"/>
        <c:delete val="0"/>
        <c:numFmt formatCode="General" sourceLinked="1"/>
        <c:majorTickMark val="out"/>
        <c:minorTickMark val="none"/>
        <c:tickLblPos val="nextTo"/>
        <c:crossAx val="46483887"/>
        <c:crosses val="autoZero"/>
        <c:crossBetween val="midCat"/>
        <c:dispUnits/>
        <c:majorUnit val="101"/>
      </c:valAx>
      <c:valAx>
        <c:axId val="46483887"/>
        <c:scaling>
          <c:orientation val="minMax"/>
          <c:max val="5"/>
          <c:min val="0"/>
        </c:scaling>
        <c:axPos val="l"/>
        <c:majorGridlines/>
        <c:delete val="0"/>
        <c:numFmt formatCode="General" sourceLinked="1"/>
        <c:majorTickMark val="out"/>
        <c:minorTickMark val="none"/>
        <c:tickLblPos val="nextTo"/>
        <c:crossAx val="34991038"/>
        <c:crosses val="autoZero"/>
        <c:crossBetween val="midCat"/>
        <c:dispUnits/>
        <c:majorUnit val="1"/>
        <c:minorUnit val="0.1"/>
      </c:valAx>
      <c:spPr>
        <a:solidFill>
          <a:srgbClr val="FFFFFF"/>
        </a:solidFill>
        <a:ln w="12700">
          <a:solidFill/>
        </a:ln>
      </c:spPr>
    </c:plotArea>
    <c:legend>
      <c:legendPos val="r"/>
      <c:layout>
        <c:manualLayout>
          <c:xMode val="edge"/>
          <c:yMode val="edge"/>
          <c:x val="0.796"/>
          <c:y val="0.629"/>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'Задача2-П4(RuN надвое)'!$B$26</c:f>
              <c:strCache>
                <c:ptCount val="1"/>
                <c:pt idx="0">
                  <c:v>PB</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'Задача2-П4(RuN надвое)'!$B$27:$B$126</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2.25</c:v>
                </c:pt>
                <c:pt idx="15">
                  <c:v>3.6</c:v>
                </c:pt>
                <c:pt idx="16">
                  <c:v>3.6</c:v>
                </c:pt>
                <c:pt idx="17">
                  <c:v>6.75</c:v>
                </c:pt>
                <c:pt idx="18">
                  <c:v>12.6</c:v>
                </c:pt>
                <c:pt idx="19">
                  <c:v>13.5</c:v>
                </c:pt>
                <c:pt idx="20">
                  <c:v>16.2</c:v>
                </c:pt>
                <c:pt idx="21">
                  <c:v>22.950000000000003</c:v>
                </c:pt>
                <c:pt idx="22">
                  <c:v>25.2</c:v>
                </c:pt>
                <c:pt idx="23">
                  <c:v>26.1</c:v>
                </c:pt>
                <c:pt idx="24">
                  <c:v>27</c:v>
                </c:pt>
                <c:pt idx="25">
                  <c:v>36</c:v>
                </c:pt>
                <c:pt idx="26">
                  <c:v>36</c:v>
                </c:pt>
                <c:pt idx="27">
                  <c:v>36</c:v>
                </c:pt>
                <c:pt idx="28">
                  <c:v>36.449999999999996</c:v>
                </c:pt>
                <c:pt idx="29">
                  <c:v>36.45</c:v>
                </c:pt>
                <c:pt idx="30">
                  <c:v>43.2</c:v>
                </c:pt>
                <c:pt idx="31">
                  <c:v>43.2</c:v>
                </c:pt>
                <c:pt idx="32">
                  <c:v>46.800000000000004</c:v>
                </c:pt>
                <c:pt idx="33">
                  <c:v>47.25000000000001</c:v>
                </c:pt>
                <c:pt idx="34">
                  <c:v>51.75</c:v>
                </c:pt>
                <c:pt idx="35">
                  <c:v>52.650000000000006</c:v>
                </c:pt>
                <c:pt idx="36">
                  <c:v>54</c:v>
                </c:pt>
                <c:pt idx="37">
                  <c:v>56.699999999999996</c:v>
                </c:pt>
                <c:pt idx="38">
                  <c:v>66.15</c:v>
                </c:pt>
                <c:pt idx="39">
                  <c:v>66.60000000000001</c:v>
                </c:pt>
                <c:pt idx="40">
                  <c:v>70.2</c:v>
                </c:pt>
                <c:pt idx="41">
                  <c:v>72</c:v>
                </c:pt>
                <c:pt idx="42">
                  <c:v>74.7</c:v>
                </c:pt>
                <c:pt idx="43">
                  <c:v>75.60000000000001</c:v>
                </c:pt>
                <c:pt idx="44">
                  <c:v>82.35</c:v>
                </c:pt>
                <c:pt idx="45">
                  <c:v>82.8</c:v>
                </c:pt>
                <c:pt idx="46">
                  <c:v>85.5</c:v>
                </c:pt>
                <c:pt idx="47">
                  <c:v>91.35000000000001</c:v>
                </c:pt>
                <c:pt idx="48">
                  <c:v>95.85</c:v>
                </c:pt>
                <c:pt idx="49">
                  <c:v>99</c:v>
                </c:pt>
                <c:pt idx="50">
                  <c:v>101.25</c:v>
                </c:pt>
                <c:pt idx="51">
                  <c:v>112.5</c:v>
                </c:pt>
                <c:pt idx="52">
                  <c:v>115.2</c:v>
                </c:pt>
                <c:pt idx="53">
                  <c:v>115.2</c:v>
                </c:pt>
                <c:pt idx="54">
                  <c:v>116.10000000000001</c:v>
                </c:pt>
                <c:pt idx="55">
                  <c:v>122.4</c:v>
                </c:pt>
                <c:pt idx="56">
                  <c:v>122.4</c:v>
                </c:pt>
                <c:pt idx="57">
                  <c:v>125.55000000000001</c:v>
                </c:pt>
                <c:pt idx="58">
                  <c:v>125.55000000000001</c:v>
                </c:pt>
                <c:pt idx="59">
                  <c:v>126</c:v>
                </c:pt>
                <c:pt idx="60">
                  <c:v>126</c:v>
                </c:pt>
                <c:pt idx="61">
                  <c:v>129.60000000000002</c:v>
                </c:pt>
                <c:pt idx="62">
                  <c:v>141.75</c:v>
                </c:pt>
                <c:pt idx="63">
                  <c:v>150.75</c:v>
                </c:pt>
                <c:pt idx="64">
                  <c:v>154.8</c:v>
                </c:pt>
                <c:pt idx="65">
                  <c:v>160.65</c:v>
                </c:pt>
                <c:pt idx="66">
                  <c:v>162</c:v>
                </c:pt>
                <c:pt idx="67">
                  <c:v>171</c:v>
                </c:pt>
                <c:pt idx="68">
                  <c:v>175.5</c:v>
                </c:pt>
                <c:pt idx="69">
                  <c:v>184.5</c:v>
                </c:pt>
                <c:pt idx="70">
                  <c:v>194.4</c:v>
                </c:pt>
                <c:pt idx="71">
                  <c:v>195.3</c:v>
                </c:pt>
                <c:pt idx="72">
                  <c:v>198</c:v>
                </c:pt>
                <c:pt idx="73">
                  <c:v>200.25000000000003</c:v>
                </c:pt>
                <c:pt idx="74">
                  <c:v>211.50000000000003</c:v>
                </c:pt>
                <c:pt idx="75">
                  <c:v>212.4</c:v>
                </c:pt>
                <c:pt idx="76">
                  <c:v>214.65</c:v>
                </c:pt>
                <c:pt idx="77">
                  <c:v>225</c:v>
                </c:pt>
                <c:pt idx="78">
                  <c:v>226.79999999999998</c:v>
                </c:pt>
                <c:pt idx="79">
                  <c:v>230.85000000000002</c:v>
                </c:pt>
                <c:pt idx="80">
                  <c:v>234.89999999999998</c:v>
                </c:pt>
                <c:pt idx="81">
                  <c:v>248.39999999999998</c:v>
                </c:pt>
                <c:pt idx="82">
                  <c:v>264.6</c:v>
                </c:pt>
                <c:pt idx="83">
                  <c:v>270</c:v>
                </c:pt>
                <c:pt idx="84">
                  <c:v>273.6</c:v>
                </c:pt>
                <c:pt idx="85">
                  <c:v>283.5</c:v>
                </c:pt>
                <c:pt idx="86">
                  <c:v>297</c:v>
                </c:pt>
                <c:pt idx="87">
                  <c:v>299.25</c:v>
                </c:pt>
                <c:pt idx="88">
                  <c:v>303.75</c:v>
                </c:pt>
                <c:pt idx="89">
                  <c:v>310.5</c:v>
                </c:pt>
                <c:pt idx="90">
                  <c:v>315.90000000000003</c:v>
                </c:pt>
                <c:pt idx="91">
                  <c:v>319.95000000000005</c:v>
                </c:pt>
                <c:pt idx="92">
                  <c:v>324</c:v>
                </c:pt>
                <c:pt idx="93">
                  <c:v>332.09999999999997</c:v>
                </c:pt>
                <c:pt idx="94">
                  <c:v>382.5</c:v>
                </c:pt>
                <c:pt idx="95">
                  <c:v>392.84999999999997</c:v>
                </c:pt>
                <c:pt idx="96">
                  <c:v>396</c:v>
                </c:pt>
                <c:pt idx="97">
                  <c:v>405</c:v>
                </c:pt>
                <c:pt idx="98">
                  <c:v>409.5</c:v>
                </c:pt>
                <c:pt idx="99">
                  <c:v>423.00000000000006</c:v>
                </c:pt>
              </c:numCache>
            </c:numRef>
          </c:val>
        </c:ser>
        <c:gapWidth val="100"/>
        <c:axId val="15701800"/>
        <c:axId val="7098473"/>
      </c:barChart>
      <c:catAx>
        <c:axId val="15701800"/>
        <c:scaling>
          <c:orientation val="minMax"/>
        </c:scaling>
        <c:axPos val="b"/>
        <c:delete val="0"/>
        <c:numFmt formatCode="General" sourceLinked="1"/>
        <c:majorTickMark val="out"/>
        <c:minorTickMark val="none"/>
        <c:tickLblPos val="nextTo"/>
        <c:crossAx val="7098473"/>
        <c:crosses val="autoZero"/>
        <c:auto val="1"/>
        <c:lblOffset val="100"/>
        <c:tickLblSkip val="1000"/>
        <c:tickMarkSkip val="1000"/>
        <c:noMultiLvlLbl val="0"/>
      </c:catAx>
      <c:valAx>
        <c:axId val="7098473"/>
        <c:scaling>
          <c:orientation val="minMax"/>
        </c:scaling>
        <c:axPos val="l"/>
        <c:majorGridlines/>
        <c:delete val="0"/>
        <c:numFmt formatCode="General" sourceLinked="1"/>
        <c:majorTickMark val="out"/>
        <c:minorTickMark val="none"/>
        <c:tickLblPos val="nextTo"/>
        <c:crossAx val="15701800"/>
        <c:crossesAt val="1"/>
        <c:crossBetween val="between"/>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2725"/>
          <c:w val="0.88625"/>
          <c:h val="0.854"/>
        </c:manualLayout>
      </c:layout>
      <c:barChart>
        <c:barDir val="col"/>
        <c:grouping val="stacked"/>
        <c:varyColors val="0"/>
        <c:ser>
          <c:idx val="0"/>
          <c:order val="0"/>
          <c:tx>
            <c:strRef>
              <c:f>'Задача2-П4(RuN надвое)'!$G$26</c:f>
              <c:strCache>
                <c:ptCount val="1"/>
                <c:pt idx="0">
                  <c:v>PSN</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dPt>
            <c:idx val="49"/>
            <c:invertIfNegative val="0"/>
            <c:spPr>
              <a:solidFill>
                <a:srgbClr val="339966"/>
              </a:solidFill>
              <a:ln w="3175">
                <a:noFill/>
              </a:ln>
            </c:spPr>
          </c:dPt>
          <c:dPt>
            <c:idx val="69"/>
            <c:invertIfNegative val="0"/>
            <c:spPr>
              <a:solidFill>
                <a:srgbClr val="339966"/>
              </a:solidFill>
              <a:ln w="3175">
                <a:noFill/>
              </a:ln>
            </c:spPr>
          </c:dPt>
          <c:dPt>
            <c:idx val="75"/>
            <c:invertIfNegative val="0"/>
            <c:spPr>
              <a:solidFill>
                <a:srgbClr val="339966"/>
              </a:solidFill>
              <a:ln w="3175">
                <a:noFill/>
              </a:ln>
            </c:spPr>
          </c:dPt>
          <c:dPt>
            <c:idx val="94"/>
            <c:invertIfNegative val="0"/>
            <c:spPr>
              <a:solidFill>
                <a:srgbClr val="FF0000"/>
              </a:solidFill>
              <a:ln w="3175">
                <a:noFill/>
              </a:ln>
            </c:spPr>
          </c:dPt>
          <c:val>
            <c:numRef>
              <c:f>'Задача2-П4(RuN надвое)'!$G$27:$G$126</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0.7475038180577046</c:v>
                </c:pt>
                <c:pt idx="15">
                  <c:v>1.1960061088923273</c:v>
                </c:pt>
                <c:pt idx="16">
                  <c:v>1.1960061088923273</c:v>
                </c:pt>
                <c:pt idx="17">
                  <c:v>2.2425114541731137</c:v>
                </c:pt>
                <c:pt idx="18">
                  <c:v>4.186021381123146</c:v>
                </c:pt>
                <c:pt idx="19">
                  <c:v>4.485022908346227</c:v>
                </c:pt>
                <c:pt idx="20">
                  <c:v>5.3820274900154725</c:v>
                </c:pt>
                <c:pt idx="21">
                  <c:v>7.624538944188587</c:v>
                </c:pt>
                <c:pt idx="22">
                  <c:v>8.372042762246291</c:v>
                </c:pt>
                <c:pt idx="23">
                  <c:v>8.671044289469373</c:v>
                </c:pt>
                <c:pt idx="24">
                  <c:v>8.970045816692455</c:v>
                </c:pt>
                <c:pt idx="25">
                  <c:v>11.960061088923274</c:v>
                </c:pt>
                <c:pt idx="26">
                  <c:v>11.960061088923274</c:v>
                </c:pt>
                <c:pt idx="27">
                  <c:v>11.960061088923274</c:v>
                </c:pt>
                <c:pt idx="28">
                  <c:v>12.109561852534812</c:v>
                </c:pt>
                <c:pt idx="29">
                  <c:v>12.109561852534815</c:v>
                </c:pt>
                <c:pt idx="30">
                  <c:v>14.35207330670793</c:v>
                </c:pt>
                <c:pt idx="31">
                  <c:v>14.35207330670793</c:v>
                </c:pt>
                <c:pt idx="32">
                  <c:v>15.548079415600256</c:v>
                </c:pt>
                <c:pt idx="33">
                  <c:v>15.697580179211798</c:v>
                </c:pt>
                <c:pt idx="34">
                  <c:v>17.192587815327204</c:v>
                </c:pt>
                <c:pt idx="35">
                  <c:v>17.491589342550288</c:v>
                </c:pt>
                <c:pt idx="36">
                  <c:v>17.94009163338491</c:v>
                </c:pt>
                <c:pt idx="37">
                  <c:v>18.837096215054153</c:v>
                </c:pt>
                <c:pt idx="38">
                  <c:v>21.976612250896515</c:v>
                </c:pt>
                <c:pt idx="39">
                  <c:v>22.126113014508057</c:v>
                </c:pt>
                <c:pt idx="40">
                  <c:v>23.322119123400384</c:v>
                </c:pt>
                <c:pt idx="41">
                  <c:v>23.920122177846547</c:v>
                </c:pt>
                <c:pt idx="42">
                  <c:v>24.81712675951579</c:v>
                </c:pt>
                <c:pt idx="43">
                  <c:v>25.116128286738878</c:v>
                </c:pt>
                <c:pt idx="44">
                  <c:v>27.358639740911986</c:v>
                </c:pt>
                <c:pt idx="45">
                  <c:v>27.508140504523528</c:v>
                </c:pt>
                <c:pt idx="46">
                  <c:v>28.405145086192775</c:v>
                </c:pt>
                <c:pt idx="47">
                  <c:v>30.348655013142807</c:v>
                </c:pt>
                <c:pt idx="48">
                  <c:v>31.843662649258214</c:v>
                </c:pt>
                <c:pt idx="49">
                  <c:v>31.627423222815</c:v>
                </c:pt>
                <c:pt idx="50">
                  <c:v>33.63767181259671</c:v>
                </c:pt>
                <c:pt idx="51">
                  <c:v>37.37519090288523</c:v>
                </c:pt>
                <c:pt idx="52">
                  <c:v>38.27219548455447</c:v>
                </c:pt>
                <c:pt idx="53">
                  <c:v>38.27219548455447</c:v>
                </c:pt>
                <c:pt idx="54">
                  <c:v>38.571197011777556</c:v>
                </c:pt>
                <c:pt idx="55">
                  <c:v>40.66420770233913</c:v>
                </c:pt>
                <c:pt idx="56">
                  <c:v>40.66420770233913</c:v>
                </c:pt>
                <c:pt idx="57">
                  <c:v>41.71071304761992</c:v>
                </c:pt>
                <c:pt idx="58">
                  <c:v>41.71071304761992</c:v>
                </c:pt>
                <c:pt idx="59">
                  <c:v>41.86021381123145</c:v>
                </c:pt>
                <c:pt idx="60">
                  <c:v>41.86021381123145</c:v>
                </c:pt>
                <c:pt idx="61">
                  <c:v>43.05621992012379</c:v>
                </c:pt>
                <c:pt idx="62">
                  <c:v>47.092740537635386</c:v>
                </c:pt>
                <c:pt idx="63">
                  <c:v>50.08275580986621</c:v>
                </c:pt>
                <c:pt idx="64">
                  <c:v>51.428262682370075</c:v>
                </c:pt>
                <c:pt idx="65">
                  <c:v>53.37177260932011</c:v>
                </c:pt>
                <c:pt idx="66">
                  <c:v>53.82027490015473</c:v>
                </c:pt>
                <c:pt idx="67">
                  <c:v>56.81029017238555</c:v>
                </c:pt>
                <c:pt idx="68">
                  <c:v>58.30529780850095</c:v>
                </c:pt>
                <c:pt idx="69">
                  <c:v>64.48404705633187</c:v>
                </c:pt>
                <c:pt idx="70">
                  <c:v>64.58432988018568</c:v>
                </c:pt>
                <c:pt idx="71">
                  <c:v>64.88333140740876</c:v>
                </c:pt>
                <c:pt idx="72">
                  <c:v>65.780335989078</c:v>
                </c:pt>
                <c:pt idx="73">
                  <c:v>66.52783980713572</c:v>
                </c:pt>
                <c:pt idx="74">
                  <c:v>70.26535889742424</c:v>
                </c:pt>
                <c:pt idx="75">
                  <c:v>69.60258916298118</c:v>
                </c:pt>
                <c:pt idx="76">
                  <c:v>71.31186424270501</c:v>
                </c:pt>
                <c:pt idx="77">
                  <c:v>74.75038180577046</c:v>
                </c:pt>
                <c:pt idx="78">
                  <c:v>75.34838486021661</c:v>
                </c:pt>
                <c:pt idx="79">
                  <c:v>76.6938917327205</c:v>
                </c:pt>
                <c:pt idx="80">
                  <c:v>78.03939860522435</c:v>
                </c:pt>
                <c:pt idx="81">
                  <c:v>82.52442151357057</c:v>
                </c:pt>
                <c:pt idx="82">
                  <c:v>87.90644900358606</c:v>
                </c:pt>
                <c:pt idx="83">
                  <c:v>89.70045816692455</c:v>
                </c:pt>
                <c:pt idx="84">
                  <c:v>90.89646427581688</c:v>
                </c:pt>
                <c:pt idx="85">
                  <c:v>94.18548107527077</c:v>
                </c:pt>
                <c:pt idx="86">
                  <c:v>98.670503983617</c:v>
                </c:pt>
                <c:pt idx="87">
                  <c:v>99.4180078016747</c:v>
                </c:pt>
                <c:pt idx="88">
                  <c:v>100.91301543779012</c:v>
                </c:pt>
                <c:pt idx="89">
                  <c:v>103.15552689196323</c:v>
                </c:pt>
                <c:pt idx="90">
                  <c:v>104.94953605530173</c:v>
                </c:pt>
                <c:pt idx="91">
                  <c:v>106.29504292780561</c:v>
                </c:pt>
                <c:pt idx="92">
                  <c:v>107.64054980030946</c:v>
                </c:pt>
                <c:pt idx="93">
                  <c:v>110.33156354531718</c:v>
                </c:pt>
                <c:pt idx="94">
                  <c:v>127.07564906980977</c:v>
                </c:pt>
                <c:pt idx="95">
                  <c:v>130.5141666328752</c:v>
                </c:pt>
                <c:pt idx="96">
                  <c:v>131.560671978156</c:v>
                </c:pt>
                <c:pt idx="97">
                  <c:v>134.55068725038683</c:v>
                </c:pt>
                <c:pt idx="98">
                  <c:v>136.04569488650222</c:v>
                </c:pt>
                <c:pt idx="99">
                  <c:v>140.53071779484847</c:v>
                </c:pt>
              </c:numCache>
            </c:numRef>
          </c:val>
        </c:ser>
        <c:ser>
          <c:idx val="1"/>
          <c:order val="1"/>
          <c:tx>
            <c:strRef>
              <c:f>'Задача2-П4(RuN надвое)'!$H$26</c:f>
              <c:strCache>
                <c:ptCount val="1"/>
                <c:pt idx="0">
                  <c:v>PSR</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val>
            <c:numRef>
              <c:f>'Задача2-П4(RuN надвое)'!$H$27:$H$126</c:f>
              <c:numCache>
                <c:ptCount val="100"/>
                <c:pt idx="0">
                  <c:v>579.6</c:v>
                </c:pt>
                <c:pt idx="1">
                  <c:v>316.8</c:v>
                </c:pt>
                <c:pt idx="2">
                  <c:v>587.25</c:v>
                </c:pt>
                <c:pt idx="3">
                  <c:v>309.15000000000003</c:v>
                </c:pt>
                <c:pt idx="4">
                  <c:v>594.9</c:v>
                </c:pt>
                <c:pt idx="5">
                  <c:v>382.5</c:v>
                </c:pt>
                <c:pt idx="6">
                  <c:v>642.6</c:v>
                </c:pt>
                <c:pt idx="7">
                  <c:v>787.95</c:v>
                </c:pt>
                <c:pt idx="8">
                  <c:v>246.6</c:v>
                </c:pt>
                <c:pt idx="9">
                  <c:v>862.65</c:v>
                </c:pt>
                <c:pt idx="10">
                  <c:v>624.6</c:v>
                </c:pt>
                <c:pt idx="11">
                  <c:v>218.70000000000002</c:v>
                </c:pt>
                <c:pt idx="12">
                  <c:v>865.35</c:v>
                </c:pt>
                <c:pt idx="13">
                  <c:v>169.65</c:v>
                </c:pt>
                <c:pt idx="14">
                  <c:v>575.1860947648914</c:v>
                </c:pt>
                <c:pt idx="15">
                  <c:v>153.78240213530202</c:v>
                </c:pt>
                <c:pt idx="16">
                  <c:v>260.44969527237834</c:v>
                </c:pt>
                <c:pt idx="17">
                  <c:v>692.9791242145883</c:v>
                </c:pt>
                <c:pt idx="18">
                  <c:v>261.35383593242403</c:v>
                </c:pt>
                <c:pt idx="19">
                  <c:v>2.199284298182265</c:v>
                </c:pt>
                <c:pt idx="20">
                  <c:v>517.1479634644379</c:v>
                </c:pt>
                <c:pt idx="21">
                  <c:v>447.85561670949323</c:v>
                </c:pt>
                <c:pt idx="22">
                  <c:v>687.2953209750165</c:v>
                </c:pt>
                <c:pt idx="23">
                  <c:v>370.86579427743106</c:v>
                </c:pt>
                <c:pt idx="24">
                  <c:v>893.8173010762252</c:v>
                </c:pt>
                <c:pt idx="25">
                  <c:v>148.68485331155568</c:v>
                </c:pt>
                <c:pt idx="26">
                  <c:v>503.73190065264845</c:v>
                </c:pt>
                <c:pt idx="27">
                  <c:v>519.4131394186023</c:v>
                </c:pt>
                <c:pt idx="28">
                  <c:v>-2.7842587253110906</c:v>
                </c:pt>
                <c:pt idx="29">
                  <c:v>196.40603230288585</c:v>
                </c:pt>
                <c:pt idx="30">
                  <c:v>871.891129689835</c:v>
                </c:pt>
                <c:pt idx="31">
                  <c:v>737.284667578971</c:v>
                </c:pt>
                <c:pt idx="32">
                  <c:v>246.63837086284943</c:v>
                </c:pt>
                <c:pt idx="33">
                  <c:v>98.99433855603793</c:v>
                </c:pt>
                <c:pt idx="34">
                  <c:v>314.4398978297089</c:v>
                </c:pt>
                <c:pt idx="35">
                  <c:v>433.7710402827212</c:v>
                </c:pt>
                <c:pt idx="36">
                  <c:v>29.796840968724148</c:v>
                </c:pt>
                <c:pt idx="37">
                  <c:v>816.1120451714286</c:v>
                </c:pt>
                <c:pt idx="38">
                  <c:v>683.7259434703012</c:v>
                </c:pt>
                <c:pt idx="39">
                  <c:v>631.7292425286608</c:v>
                </c:pt>
                <c:pt idx="40">
                  <c:v>620.1137770700198</c:v>
                </c:pt>
                <c:pt idx="41">
                  <c:v>56.82613549416037</c:v>
                </c:pt>
                <c:pt idx="42">
                  <c:v>422.7370827551352</c:v>
                </c:pt>
                <c:pt idx="43">
                  <c:v>373.9985299719158</c:v>
                </c:pt>
                <c:pt idx="44">
                  <c:v>439.8997723574766</c:v>
                </c:pt>
                <c:pt idx="45">
                  <c:v>135.40794400659576</c:v>
                </c:pt>
                <c:pt idx="46">
                  <c:v>840.3237249993782</c:v>
                </c:pt>
                <c:pt idx="47">
                  <c:v>188.92596766748593</c:v>
                </c:pt>
                <c:pt idx="48">
                  <c:v>180.4278526616077</c:v>
                </c:pt>
                <c:pt idx="49">
                  <c:v>0</c:v>
                </c:pt>
                <c:pt idx="50">
                  <c:v>551.581567098948</c:v>
                </c:pt>
                <c:pt idx="51">
                  <c:v>869.8314347839548</c:v>
                </c:pt>
                <c:pt idx="52">
                  <c:v>719.1632657361881</c:v>
                </c:pt>
                <c:pt idx="53">
                  <c:v>-18.088975508538255</c:v>
                </c:pt>
                <c:pt idx="54">
                  <c:v>765.1666601310716</c:v>
                </c:pt>
                <c:pt idx="55">
                  <c:v>-5.89062445547367</c:v>
                </c:pt>
                <c:pt idx="56">
                  <c:v>722.0794114106787</c:v>
                </c:pt>
                <c:pt idx="57">
                  <c:v>866.7116713701614</c:v>
                </c:pt>
                <c:pt idx="58">
                  <c:v>674.0618775821936</c:v>
                </c:pt>
                <c:pt idx="59">
                  <c:v>-24.692166051623964</c:v>
                </c:pt>
                <c:pt idx="60">
                  <c:v>45.94284168199241</c:v>
                </c:pt>
                <c:pt idx="61">
                  <c:v>238.3218318334234</c:v>
                </c:pt>
                <c:pt idx="62">
                  <c:v>81.02556585829984</c:v>
                </c:pt>
                <c:pt idx="63">
                  <c:v>295.969065980302</c:v>
                </c:pt>
                <c:pt idx="64">
                  <c:v>0</c:v>
                </c:pt>
                <c:pt idx="65">
                  <c:v>657.2665664166341</c:v>
                </c:pt>
                <c:pt idx="66">
                  <c:v>116.9593726700427</c:v>
                </c:pt>
                <c:pt idx="67">
                  <c:v>791.1504514451727</c:v>
                </c:pt>
                <c:pt idx="68">
                  <c:v>73.16120818652983</c:v>
                </c:pt>
                <c:pt idx="69">
                  <c:v>0</c:v>
                </c:pt>
                <c:pt idx="70">
                  <c:v>115.57595465400907</c:v>
                </c:pt>
                <c:pt idx="71">
                  <c:v>785.0909491892558</c:v>
                </c:pt>
                <c:pt idx="72">
                  <c:v>837.4899628811744</c:v>
                </c:pt>
                <c:pt idx="73">
                  <c:v>528.0858941037009</c:v>
                </c:pt>
                <c:pt idx="74">
                  <c:v>-37.46721596978734</c:v>
                </c:pt>
                <c:pt idx="75">
                  <c:v>0</c:v>
                </c:pt>
                <c:pt idx="76">
                  <c:v>-37.30474423351317</c:v>
                </c:pt>
                <c:pt idx="77">
                  <c:v>848.7075576692265</c:v>
                </c:pt>
                <c:pt idx="78">
                  <c:v>829.4703491033847</c:v>
                </c:pt>
                <c:pt idx="79">
                  <c:v>739.5994262922171</c:v>
                </c:pt>
                <c:pt idx="80">
                  <c:v>739.1159008053008</c:v>
                </c:pt>
                <c:pt idx="81">
                  <c:v>214.66641618487546</c:v>
                </c:pt>
                <c:pt idx="82">
                  <c:v>18.48568051789752</c:v>
                </c:pt>
                <c:pt idx="83">
                  <c:v>15.611609771219548</c:v>
                </c:pt>
                <c:pt idx="84">
                  <c:v>684.7287586915036</c:v>
                </c:pt>
                <c:pt idx="85">
                  <c:v>796.78123938688</c:v>
                </c:pt>
                <c:pt idx="86">
                  <c:v>-41.45364554832409</c:v>
                </c:pt>
                <c:pt idx="87">
                  <c:v>626.4599562864124</c:v>
                </c:pt>
                <c:pt idx="88">
                  <c:v>825.769664256873</c:v>
                </c:pt>
                <c:pt idx="89">
                  <c:v>825.216032027256</c:v>
                </c:pt>
                <c:pt idx="90">
                  <c:v>-42.899588400514</c:v>
                </c:pt>
                <c:pt idx="91">
                  <c:v>43.72332617101637</c:v>
                </c:pt>
                <c:pt idx="92">
                  <c:v>-63.82622362821548</c:v>
                </c:pt>
                <c:pt idx="93">
                  <c:v>755.6618331734444</c:v>
                </c:pt>
                <c:pt idx="94">
                  <c:v>-37.51658454762985</c:v>
                </c:pt>
                <c:pt idx="95">
                  <c:v>-72.17443261625749</c:v>
                </c:pt>
                <c:pt idx="96">
                  <c:v>793.4003916947959</c:v>
                </c:pt>
                <c:pt idx="97">
                  <c:v>788.694627670646</c:v>
                </c:pt>
                <c:pt idx="98">
                  <c:v>-77.1015817227763</c:v>
                </c:pt>
                <c:pt idx="99">
                  <c:v>803.5547868139826</c:v>
                </c:pt>
              </c:numCache>
            </c:numRef>
          </c:val>
        </c:ser>
        <c:overlap val="100"/>
        <c:gapWidth val="100"/>
        <c:axId val="63886258"/>
        <c:axId val="38105411"/>
      </c:barChart>
      <c:catAx>
        <c:axId val="63886258"/>
        <c:scaling>
          <c:orientation val="minMax"/>
        </c:scaling>
        <c:axPos val="b"/>
        <c:delete val="0"/>
        <c:numFmt formatCode="General" sourceLinked="1"/>
        <c:majorTickMark val="out"/>
        <c:minorTickMark val="none"/>
        <c:tickLblPos val="nextTo"/>
        <c:crossAx val="38105411"/>
        <c:crosses val="autoZero"/>
        <c:auto val="1"/>
        <c:lblOffset val="100"/>
        <c:tickLblSkip val="1000"/>
        <c:tickMarkSkip val="1000"/>
        <c:noMultiLvlLbl val="0"/>
      </c:catAx>
      <c:valAx>
        <c:axId val="38105411"/>
        <c:scaling>
          <c:orientation val="minMax"/>
        </c:scaling>
        <c:axPos val="l"/>
        <c:majorGridlines/>
        <c:delete val="0"/>
        <c:numFmt formatCode="0" sourceLinked="0"/>
        <c:majorTickMark val="out"/>
        <c:minorTickMark val="none"/>
        <c:tickLblPos val="nextTo"/>
        <c:crossAx val="63886258"/>
        <c:crossesAt val="1"/>
        <c:crossBetween val="between"/>
        <c:dispUnits/>
      </c:valAx>
      <c:spPr>
        <a:solidFill>
          <a:srgbClr val="FFFFFF"/>
        </a:solidFill>
        <a:ln w="12700">
          <a:solidFill>
            <a:srgbClr val="808080"/>
          </a:solidFill>
        </a:ln>
      </c:spPr>
    </c:plotArea>
    <c:legend>
      <c:legendPos val="t"/>
      <c:layout>
        <c:manualLayout>
          <c:xMode val="edge"/>
          <c:yMode val="edge"/>
          <c:x val="0.89975"/>
          <c:y val="0.005"/>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15"/>
          <c:w val="0.92025"/>
          <c:h val="0.977"/>
        </c:manualLayout>
      </c:layout>
      <c:scatterChart>
        <c:scatterStyle val="lineMarker"/>
        <c:varyColors val="0"/>
        <c:ser>
          <c:idx val="0"/>
          <c:order val="0"/>
          <c:tx>
            <c:strRef>
              <c:f>'Задача2-П4(RuN надвое)'!$E$26</c:f>
              <c:strCache>
                <c:ptCount val="1"/>
                <c:pt idx="0">
                  <c:v>Z=PS/PB</c:v>
                </c:pt>
              </c:strCache>
            </c:strRef>
          </c:tx>
          <c:spPr>
            <a:ln w="3175">
              <a:noFill/>
            </a:ln>
          </c:spPr>
          <c:extLst>
            <c:ext xmlns:c14="http://schemas.microsoft.com/office/drawing/2007/8/2/chart" uri="{6F2FDCE9-48DA-4B69-8628-5D25D57E5C99}">
              <c14:invertSolidFillFmt>
                <c14:spPr>
                  <a:solidFill>
                    <a:srgbClr val="9999FF"/>
                  </a:solidFill>
                </c14:spPr>
              </c14:invertSolidFillFmt>
            </c:ext>
          </c:extLst>
          <c:marker>
            <c:symbol val="dot"/>
            <c:size val="5"/>
            <c:spPr>
              <a:solidFill>
                <a:srgbClr val="000080"/>
              </a:solidFill>
              <a:ln>
                <a:solidFill>
                  <a:srgbClr val="000080"/>
                </a:solidFill>
              </a:ln>
            </c:spPr>
          </c:marker>
          <c:yVal>
            <c:numRef>
              <c:f>'Задача2-П4(RuN надвое)'!$E$27:$E$126</c:f>
              <c:numCach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255.97048825908848</c:v>
                </c:pt>
                <c:pt idx="15">
                  <c:v>43.04955784560954</c:v>
                </c:pt>
                <c:pt idx="16">
                  <c:v>72.6793614947974</c:v>
                </c:pt>
                <c:pt idx="17">
                  <c:v>102.99579787685354</c:v>
                </c:pt>
                <c:pt idx="18">
                  <c:v>21.074591850281525</c:v>
                </c:pt>
                <c:pt idx="19">
                  <c:v>0.4951338671502587</c:v>
                </c:pt>
                <c:pt idx="20">
                  <c:v>32.254937713237865</c:v>
                </c:pt>
                <c:pt idx="21">
                  <c:v>19.84662987597742</c:v>
                </c:pt>
                <c:pt idx="22">
                  <c:v>27.6058477673517</c:v>
                </c:pt>
                <c:pt idx="23">
                  <c:v>14.541641324402315</c:v>
                </c:pt>
                <c:pt idx="24">
                  <c:v>33.4365684034414</c:v>
                </c:pt>
                <c:pt idx="25">
                  <c:v>4.462358733346638</c:v>
                </c:pt>
                <c:pt idx="26">
                  <c:v>14.32477671504366</c:v>
                </c:pt>
                <c:pt idx="27">
                  <c:v>14.760366680764598</c:v>
                </c:pt>
                <c:pt idx="28">
                  <c:v>0.25583822022561653</c:v>
                </c:pt>
                <c:pt idx="29">
                  <c:v>5.72059243224748</c:v>
                </c:pt>
                <c:pt idx="30">
                  <c:v>20.514888958253305</c:v>
                </c:pt>
                <c:pt idx="31">
                  <c:v>17.398998631612937</c:v>
                </c:pt>
                <c:pt idx="32">
                  <c:v>5.602274578599352</c:v>
                </c:pt>
                <c:pt idx="33">
                  <c:v>2.4273421954550205</c:v>
                </c:pt>
                <c:pt idx="34">
                  <c:v>6.408357210532099</c:v>
                </c:pt>
                <c:pt idx="35">
                  <c:v>8.570990116339438</c:v>
                </c:pt>
                <c:pt idx="36">
                  <c:v>0.884017270409427</c:v>
                </c:pt>
                <c:pt idx="37">
                  <c:v>14.725734415987352</c:v>
                </c:pt>
                <c:pt idx="38">
                  <c:v>10.668217017705182</c:v>
                </c:pt>
                <c:pt idx="39">
                  <c:v>9.817647981128662</c:v>
                </c:pt>
                <c:pt idx="40">
                  <c:v>9.165753507028777</c:v>
                </c:pt>
                <c:pt idx="41">
                  <c:v>1.121475801000096</c:v>
                </c:pt>
                <c:pt idx="42">
                  <c:v>5.991354879714203</c:v>
                </c:pt>
                <c:pt idx="43">
                  <c:v>5.279294421410776</c:v>
                </c:pt>
                <c:pt idx="44">
                  <c:v>5.674054791722995</c:v>
                </c:pt>
                <c:pt idx="45">
                  <c:v>1.9675855617284939</c:v>
                </c:pt>
                <c:pt idx="46">
                  <c:v>10.160571579948199</c:v>
                </c:pt>
                <c:pt idx="47">
                  <c:v>2.4003790112821974</c:v>
                </c:pt>
                <c:pt idx="48">
                  <c:v>2.214621964641272</c:v>
                </c:pt>
                <c:pt idx="49">
                  <c:v>0.31946892144257577</c:v>
                </c:pt>
                <c:pt idx="50">
                  <c:v>5.779943100360936</c:v>
                </c:pt>
                <c:pt idx="51">
                  <c:v>8.064058894994133</c:v>
                </c:pt>
                <c:pt idx="52">
                  <c:v>6.574960600874501</c:v>
                </c:pt>
                <c:pt idx="53">
                  <c:v>0.17520156229180744</c:v>
                </c:pt>
                <c:pt idx="54">
                  <c:v>6.922806693736857</c:v>
                </c:pt>
                <c:pt idx="55">
                  <c:v>0.284097902343672</c:v>
                </c:pt>
                <c:pt idx="56">
                  <c:v>6.231565515629231</c:v>
                </c:pt>
                <c:pt idx="57">
                  <c:v>7.235542687517174</c:v>
                </c:pt>
                <c:pt idx="58">
                  <c:v>5.7010959030650215</c:v>
                </c:pt>
                <c:pt idx="59">
                  <c:v>0.13625434729847213</c:v>
                </c:pt>
                <c:pt idx="60">
                  <c:v>0.696849646771618</c:v>
                </c:pt>
                <c:pt idx="61">
                  <c:v>2.171126942542802</c:v>
                </c:pt>
                <c:pt idx="62">
                  <c:v>0.9038328493540405</c:v>
                </c:pt>
                <c:pt idx="63">
                  <c:v>2.2955344729032716</c:v>
                </c:pt>
                <c:pt idx="64">
                  <c:v>2.663429702482082</c:v>
                </c:pt>
                <c:pt idx="65">
                  <c:v>4.423519072679453</c:v>
                </c:pt>
                <c:pt idx="66">
                  <c:v>1.054195355371589</c:v>
                </c:pt>
                <c:pt idx="67">
                  <c:v>4.95883474630151</c:v>
                </c:pt>
                <c:pt idx="68">
                  <c:v>0.7490969002565857</c:v>
                </c:pt>
                <c:pt idx="69">
                  <c:v>0.3495070301156199</c:v>
                </c:pt>
                <c:pt idx="70">
                  <c:v>0.9267504348466807</c:v>
                </c:pt>
                <c:pt idx="71">
                  <c:v>4.352146854053581</c:v>
                </c:pt>
                <c:pt idx="72">
                  <c:v>4.561971206415416</c:v>
                </c:pt>
                <c:pt idx="73">
                  <c:v>2.9693569733375105</c:v>
                </c:pt>
                <c:pt idx="74">
                  <c:v>0.15507396183279853</c:v>
                </c:pt>
                <c:pt idx="75">
                  <c:v>0.3276958058520771</c:v>
                </c:pt>
                <c:pt idx="76">
                  <c:v>0.15843056142181153</c:v>
                </c:pt>
                <c:pt idx="77">
                  <c:v>4.104257508777764</c:v>
                </c:pt>
                <c:pt idx="78">
                  <c:v>3.9895005906684364</c:v>
                </c:pt>
                <c:pt idx="79">
                  <c:v>3.536033433073154</c:v>
                </c:pt>
                <c:pt idx="80">
                  <c:v>3.4787369068136456</c:v>
                </c:pt>
                <c:pt idx="81">
                  <c:v>1.1964204416201534</c:v>
                </c:pt>
                <c:pt idx="82">
                  <c:v>0.40208665729963555</c:v>
                </c:pt>
                <c:pt idx="83">
                  <c:v>0.3900446960672004</c:v>
                </c:pt>
                <c:pt idx="84">
                  <c:v>2.834887510845469</c:v>
                </c:pt>
                <c:pt idx="85">
                  <c:v>3.142739754716581</c:v>
                </c:pt>
                <c:pt idx="86">
                  <c:v>0.1926493550009862</c:v>
                </c:pt>
                <c:pt idx="87">
                  <c:v>2.4256573570195057</c:v>
                </c:pt>
                <c:pt idx="88">
                  <c:v>3.0508071759495086</c:v>
                </c:pt>
                <c:pt idx="89">
                  <c:v>2.989924505375907</c:v>
                </c:pt>
                <c:pt idx="90">
                  <c:v>0.19642275294329767</c:v>
                </c:pt>
                <c:pt idx="91">
                  <c:v>0.46888066603788703</c:v>
                </c:pt>
                <c:pt idx="92">
                  <c:v>0.13522940176572215</c:v>
                </c:pt>
                <c:pt idx="93">
                  <c:v>2.6076284152928686</c:v>
                </c:pt>
                <c:pt idx="94">
                  <c:v>0.23414134515602594</c:v>
                </c:pt>
                <c:pt idx="95">
                  <c:v>0.1485038412030488</c:v>
                </c:pt>
                <c:pt idx="96">
                  <c:v>2.335760261800383</c:v>
                </c:pt>
                <c:pt idx="97">
                  <c:v>2.2796180615334145</c:v>
                </c:pt>
                <c:pt idx="98">
                  <c:v>0.143941668287487</c:v>
                </c:pt>
                <c:pt idx="99">
                  <c:v>2.2318806255527917</c:v>
                </c:pt>
              </c:numCache>
            </c:numRef>
          </c:yVal>
          <c:smooth val="0"/>
        </c:ser>
        <c:ser>
          <c:idx val="1"/>
          <c:order val="1"/>
          <c:tx>
            <c:v>Z1</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'Задача2-П4(RuN надвое)'!$J$27:$J$126</c:f>
              <c:numCache>
                <c:ptCount val="100"/>
                <c:pt idx="0">
                  <c:v>0.2942015690829345</c:v>
                </c:pt>
                <c:pt idx="1">
                  <c:v>0.2942015690829345</c:v>
                </c:pt>
                <c:pt idx="2">
                  <c:v>0.2942015690829345</c:v>
                </c:pt>
                <c:pt idx="3">
                  <c:v>0.2942015690829345</c:v>
                </c:pt>
                <c:pt idx="4">
                  <c:v>0.2942015690829345</c:v>
                </c:pt>
                <c:pt idx="5">
                  <c:v>0.2942015690829345</c:v>
                </c:pt>
                <c:pt idx="6">
                  <c:v>0.2942015690829345</c:v>
                </c:pt>
                <c:pt idx="7">
                  <c:v>0.2942015690829345</c:v>
                </c:pt>
                <c:pt idx="8">
                  <c:v>0.2942015690829345</c:v>
                </c:pt>
                <c:pt idx="9">
                  <c:v>0.2942015690829345</c:v>
                </c:pt>
                <c:pt idx="10">
                  <c:v>0.2942015690829345</c:v>
                </c:pt>
                <c:pt idx="11">
                  <c:v>0.2942015690829345</c:v>
                </c:pt>
                <c:pt idx="12">
                  <c:v>0.2942015690829345</c:v>
                </c:pt>
                <c:pt idx="13">
                  <c:v>0.2942015690829345</c:v>
                </c:pt>
                <c:pt idx="14">
                  <c:v>0.2942015690829345</c:v>
                </c:pt>
                <c:pt idx="15">
                  <c:v>0.2942015690829345</c:v>
                </c:pt>
                <c:pt idx="16">
                  <c:v>0.2942015690829345</c:v>
                </c:pt>
                <c:pt idx="17">
                  <c:v>0.2942015690829345</c:v>
                </c:pt>
                <c:pt idx="18">
                  <c:v>0.2942015690829345</c:v>
                </c:pt>
                <c:pt idx="19">
                  <c:v>0.2942015690829345</c:v>
                </c:pt>
                <c:pt idx="20">
                  <c:v>0.2942015690829345</c:v>
                </c:pt>
                <c:pt idx="21">
                  <c:v>0.2942015690829345</c:v>
                </c:pt>
                <c:pt idx="22">
                  <c:v>0.2942015690829345</c:v>
                </c:pt>
                <c:pt idx="23">
                  <c:v>0.2942015690829345</c:v>
                </c:pt>
                <c:pt idx="24">
                  <c:v>0.2942015690829345</c:v>
                </c:pt>
                <c:pt idx="25">
                  <c:v>0.2942015690829345</c:v>
                </c:pt>
                <c:pt idx="26">
                  <c:v>0.2942015690829345</c:v>
                </c:pt>
                <c:pt idx="27">
                  <c:v>0.2942015690829345</c:v>
                </c:pt>
                <c:pt idx="28">
                  <c:v>0.2942015690829345</c:v>
                </c:pt>
                <c:pt idx="29">
                  <c:v>0.2942015690829345</c:v>
                </c:pt>
                <c:pt idx="30">
                  <c:v>0.2942015690829345</c:v>
                </c:pt>
                <c:pt idx="31">
                  <c:v>0.2942015690829345</c:v>
                </c:pt>
                <c:pt idx="32">
                  <c:v>0.2942015690829345</c:v>
                </c:pt>
                <c:pt idx="33">
                  <c:v>0.2942015690829345</c:v>
                </c:pt>
                <c:pt idx="34">
                  <c:v>0.2942015690829345</c:v>
                </c:pt>
                <c:pt idx="35">
                  <c:v>0.2942015690829345</c:v>
                </c:pt>
                <c:pt idx="36">
                  <c:v>0.2942015690829345</c:v>
                </c:pt>
                <c:pt idx="37">
                  <c:v>0.2942015690829345</c:v>
                </c:pt>
                <c:pt idx="38">
                  <c:v>0.2942015690829345</c:v>
                </c:pt>
                <c:pt idx="39">
                  <c:v>0.2942015690829345</c:v>
                </c:pt>
                <c:pt idx="40">
                  <c:v>0.2942015690829345</c:v>
                </c:pt>
                <c:pt idx="41">
                  <c:v>0.2942015690829345</c:v>
                </c:pt>
                <c:pt idx="42">
                  <c:v>0.2942015690829345</c:v>
                </c:pt>
                <c:pt idx="43">
                  <c:v>0.2942015690829345</c:v>
                </c:pt>
                <c:pt idx="44">
                  <c:v>0.2942015690829345</c:v>
                </c:pt>
                <c:pt idx="45">
                  <c:v>0.2942015690829345</c:v>
                </c:pt>
                <c:pt idx="46">
                  <c:v>0.2942015690829345</c:v>
                </c:pt>
                <c:pt idx="47">
                  <c:v>0.2942015690829345</c:v>
                </c:pt>
                <c:pt idx="48">
                  <c:v>0.2942015690829345</c:v>
                </c:pt>
                <c:pt idx="49">
                  <c:v>0.2942015690829345</c:v>
                </c:pt>
                <c:pt idx="50">
                  <c:v>0.2942015690829345</c:v>
                </c:pt>
                <c:pt idx="51">
                  <c:v>0.2942015690829345</c:v>
                </c:pt>
                <c:pt idx="52">
                  <c:v>0.2942015690829345</c:v>
                </c:pt>
                <c:pt idx="53">
                  <c:v>0.2942015690829345</c:v>
                </c:pt>
                <c:pt idx="54">
                  <c:v>0.2942015690829345</c:v>
                </c:pt>
                <c:pt idx="55">
                  <c:v>0.2942015690829345</c:v>
                </c:pt>
                <c:pt idx="56">
                  <c:v>0.2942015690829345</c:v>
                </c:pt>
                <c:pt idx="57">
                  <c:v>0.2942015690829345</c:v>
                </c:pt>
                <c:pt idx="58">
                  <c:v>0.2942015690829345</c:v>
                </c:pt>
                <c:pt idx="59">
                  <c:v>0.2942015690829345</c:v>
                </c:pt>
                <c:pt idx="60">
                  <c:v>0.2942015690829345</c:v>
                </c:pt>
                <c:pt idx="61">
                  <c:v>0.2942015690829345</c:v>
                </c:pt>
                <c:pt idx="62">
                  <c:v>0.2942015690829345</c:v>
                </c:pt>
                <c:pt idx="63">
                  <c:v>0.2942015690829345</c:v>
                </c:pt>
                <c:pt idx="64">
                  <c:v>0.2942015690829345</c:v>
                </c:pt>
                <c:pt idx="65">
                  <c:v>0.2942015690829345</c:v>
                </c:pt>
                <c:pt idx="66">
                  <c:v>0.2942015690829345</c:v>
                </c:pt>
                <c:pt idx="67">
                  <c:v>0.2942015690829345</c:v>
                </c:pt>
                <c:pt idx="68">
                  <c:v>0.2942015690829345</c:v>
                </c:pt>
                <c:pt idx="69">
                  <c:v>0.2942015690829345</c:v>
                </c:pt>
                <c:pt idx="70">
                  <c:v>0.2942015690829345</c:v>
                </c:pt>
                <c:pt idx="71">
                  <c:v>0.2942015690829345</c:v>
                </c:pt>
                <c:pt idx="72">
                  <c:v>0.2942015690829345</c:v>
                </c:pt>
                <c:pt idx="73">
                  <c:v>0.2942015690829345</c:v>
                </c:pt>
                <c:pt idx="74">
                  <c:v>0.2942015690829345</c:v>
                </c:pt>
                <c:pt idx="75">
                  <c:v>0.2942015690829345</c:v>
                </c:pt>
                <c:pt idx="76">
                  <c:v>0.2942015690829345</c:v>
                </c:pt>
                <c:pt idx="77">
                  <c:v>0.2942015690829345</c:v>
                </c:pt>
                <c:pt idx="78">
                  <c:v>0.2942015690829345</c:v>
                </c:pt>
                <c:pt idx="79">
                  <c:v>0.2942015690829345</c:v>
                </c:pt>
                <c:pt idx="80">
                  <c:v>0.2942015690829345</c:v>
                </c:pt>
                <c:pt idx="81">
                  <c:v>0.2942015690829345</c:v>
                </c:pt>
                <c:pt idx="82">
                  <c:v>0.2942015690829345</c:v>
                </c:pt>
                <c:pt idx="83">
                  <c:v>0.2942015690829345</c:v>
                </c:pt>
                <c:pt idx="84">
                  <c:v>0.2942015690829345</c:v>
                </c:pt>
                <c:pt idx="85">
                  <c:v>0.2942015690829345</c:v>
                </c:pt>
                <c:pt idx="86">
                  <c:v>0.2942015690829345</c:v>
                </c:pt>
                <c:pt idx="87">
                  <c:v>0.2942015690829345</c:v>
                </c:pt>
                <c:pt idx="88">
                  <c:v>0.2942015690829345</c:v>
                </c:pt>
                <c:pt idx="89">
                  <c:v>0.2942015690829345</c:v>
                </c:pt>
                <c:pt idx="90">
                  <c:v>0.2942015690829345</c:v>
                </c:pt>
                <c:pt idx="91">
                  <c:v>0.2942015690829345</c:v>
                </c:pt>
                <c:pt idx="92">
                  <c:v>0.2942015690829345</c:v>
                </c:pt>
                <c:pt idx="93">
                  <c:v>0.2942015690829345</c:v>
                </c:pt>
                <c:pt idx="94">
                  <c:v>0.2942015690829345</c:v>
                </c:pt>
                <c:pt idx="95">
                  <c:v>0.2942015690829345</c:v>
                </c:pt>
                <c:pt idx="96">
                  <c:v>0.2942015690829345</c:v>
                </c:pt>
                <c:pt idx="97">
                  <c:v>0.2942015690829345</c:v>
                </c:pt>
                <c:pt idx="98">
                  <c:v>0.2942015690829345</c:v>
                </c:pt>
                <c:pt idx="99">
                  <c:v>0.2942015690829345</c:v>
                </c:pt>
              </c:numCache>
            </c:numRef>
          </c:yVal>
          <c:smooth val="0"/>
        </c:ser>
        <c:ser>
          <c:idx val="2"/>
          <c:order val="2"/>
          <c:tx>
            <c:v>Z2</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'Задача2-П4(RuN надвое)'!$K$27:$K$126</c:f>
              <c:numCache>
                <c:ptCount val="100"/>
                <c:pt idx="0">
                  <c:v>0.3702462691905807</c:v>
                </c:pt>
                <c:pt idx="1">
                  <c:v>0.3702462691905807</c:v>
                </c:pt>
                <c:pt idx="2">
                  <c:v>0.3702462691905807</c:v>
                </c:pt>
                <c:pt idx="3">
                  <c:v>0.3702462691905807</c:v>
                </c:pt>
                <c:pt idx="4">
                  <c:v>0.3702462691905807</c:v>
                </c:pt>
                <c:pt idx="5">
                  <c:v>0.3702462691905807</c:v>
                </c:pt>
                <c:pt idx="6">
                  <c:v>0.3702462691905807</c:v>
                </c:pt>
                <c:pt idx="7">
                  <c:v>0.3702462691905807</c:v>
                </c:pt>
                <c:pt idx="8">
                  <c:v>0.3702462691905807</c:v>
                </c:pt>
                <c:pt idx="9">
                  <c:v>0.3702462691905807</c:v>
                </c:pt>
                <c:pt idx="10">
                  <c:v>0.3702462691905807</c:v>
                </c:pt>
                <c:pt idx="11">
                  <c:v>0.3702462691905807</c:v>
                </c:pt>
                <c:pt idx="12">
                  <c:v>0.3702462691905807</c:v>
                </c:pt>
                <c:pt idx="13">
                  <c:v>0.3702462691905807</c:v>
                </c:pt>
                <c:pt idx="14">
                  <c:v>0.3702462691905807</c:v>
                </c:pt>
                <c:pt idx="15">
                  <c:v>0.3702462691905807</c:v>
                </c:pt>
                <c:pt idx="16">
                  <c:v>0.3702462691905807</c:v>
                </c:pt>
                <c:pt idx="17">
                  <c:v>0.3702462691905807</c:v>
                </c:pt>
                <c:pt idx="18">
                  <c:v>0.3702462691905807</c:v>
                </c:pt>
                <c:pt idx="19">
                  <c:v>0.3702462691905807</c:v>
                </c:pt>
                <c:pt idx="20">
                  <c:v>0.3702462691905807</c:v>
                </c:pt>
                <c:pt idx="21">
                  <c:v>0.3702462691905807</c:v>
                </c:pt>
                <c:pt idx="22">
                  <c:v>0.3702462691905807</c:v>
                </c:pt>
                <c:pt idx="23">
                  <c:v>0.3702462691905807</c:v>
                </c:pt>
                <c:pt idx="24">
                  <c:v>0.3702462691905807</c:v>
                </c:pt>
                <c:pt idx="25">
                  <c:v>0.3702462691905807</c:v>
                </c:pt>
                <c:pt idx="26">
                  <c:v>0.3702462691905807</c:v>
                </c:pt>
                <c:pt idx="27">
                  <c:v>0.3702462691905807</c:v>
                </c:pt>
                <c:pt idx="28">
                  <c:v>0.3702462691905807</c:v>
                </c:pt>
                <c:pt idx="29">
                  <c:v>0.3702462691905807</c:v>
                </c:pt>
                <c:pt idx="30">
                  <c:v>0.3702462691905807</c:v>
                </c:pt>
                <c:pt idx="31">
                  <c:v>0.3702462691905807</c:v>
                </c:pt>
                <c:pt idx="32">
                  <c:v>0.3702462691905807</c:v>
                </c:pt>
                <c:pt idx="33">
                  <c:v>0.3702462691905807</c:v>
                </c:pt>
                <c:pt idx="34">
                  <c:v>0.3702462691905807</c:v>
                </c:pt>
                <c:pt idx="35">
                  <c:v>0.3702462691905807</c:v>
                </c:pt>
                <c:pt idx="36">
                  <c:v>0.3702462691905807</c:v>
                </c:pt>
                <c:pt idx="37">
                  <c:v>0.3702462691905807</c:v>
                </c:pt>
                <c:pt idx="38">
                  <c:v>0.3702462691905807</c:v>
                </c:pt>
                <c:pt idx="39">
                  <c:v>0.3702462691905807</c:v>
                </c:pt>
                <c:pt idx="40">
                  <c:v>0.3702462691905807</c:v>
                </c:pt>
                <c:pt idx="41">
                  <c:v>0.3702462691905807</c:v>
                </c:pt>
                <c:pt idx="42">
                  <c:v>0.3702462691905807</c:v>
                </c:pt>
                <c:pt idx="43">
                  <c:v>0.3702462691905807</c:v>
                </c:pt>
                <c:pt idx="44">
                  <c:v>0.3702462691905807</c:v>
                </c:pt>
                <c:pt idx="45">
                  <c:v>0.3702462691905807</c:v>
                </c:pt>
                <c:pt idx="46">
                  <c:v>0.3702462691905807</c:v>
                </c:pt>
                <c:pt idx="47">
                  <c:v>0.3702462691905807</c:v>
                </c:pt>
                <c:pt idx="48">
                  <c:v>0.3702462691905807</c:v>
                </c:pt>
                <c:pt idx="49">
                  <c:v>0.3702462691905807</c:v>
                </c:pt>
                <c:pt idx="50">
                  <c:v>0.3702462691905807</c:v>
                </c:pt>
                <c:pt idx="51">
                  <c:v>0.3702462691905807</c:v>
                </c:pt>
                <c:pt idx="52">
                  <c:v>0.3702462691905807</c:v>
                </c:pt>
                <c:pt idx="53">
                  <c:v>0.3702462691905807</c:v>
                </c:pt>
                <c:pt idx="54">
                  <c:v>0.3702462691905807</c:v>
                </c:pt>
                <c:pt idx="55">
                  <c:v>0.3702462691905807</c:v>
                </c:pt>
                <c:pt idx="56">
                  <c:v>0.3702462691905807</c:v>
                </c:pt>
                <c:pt idx="57">
                  <c:v>0.3702462691905807</c:v>
                </c:pt>
                <c:pt idx="58">
                  <c:v>0.3702462691905807</c:v>
                </c:pt>
                <c:pt idx="59">
                  <c:v>0.3702462691905807</c:v>
                </c:pt>
                <c:pt idx="60">
                  <c:v>0.3702462691905807</c:v>
                </c:pt>
                <c:pt idx="61">
                  <c:v>0.3702462691905807</c:v>
                </c:pt>
                <c:pt idx="62">
                  <c:v>0.3702462691905807</c:v>
                </c:pt>
                <c:pt idx="63">
                  <c:v>0.3702462691905807</c:v>
                </c:pt>
                <c:pt idx="64">
                  <c:v>0.3702462691905807</c:v>
                </c:pt>
                <c:pt idx="65">
                  <c:v>0.3702462691905807</c:v>
                </c:pt>
                <c:pt idx="66">
                  <c:v>0.3702462691905807</c:v>
                </c:pt>
                <c:pt idx="67">
                  <c:v>0.3702462691905807</c:v>
                </c:pt>
                <c:pt idx="68">
                  <c:v>0.3702462691905807</c:v>
                </c:pt>
                <c:pt idx="69">
                  <c:v>0.3702462691905807</c:v>
                </c:pt>
                <c:pt idx="70">
                  <c:v>0.3702462691905807</c:v>
                </c:pt>
                <c:pt idx="71">
                  <c:v>0.3702462691905807</c:v>
                </c:pt>
                <c:pt idx="72">
                  <c:v>0.3702462691905807</c:v>
                </c:pt>
                <c:pt idx="73">
                  <c:v>0.3702462691905807</c:v>
                </c:pt>
                <c:pt idx="74">
                  <c:v>0.3702462691905807</c:v>
                </c:pt>
                <c:pt idx="75">
                  <c:v>0.3702462691905807</c:v>
                </c:pt>
                <c:pt idx="76">
                  <c:v>0.3702462691905807</c:v>
                </c:pt>
                <c:pt idx="77">
                  <c:v>0.3702462691905807</c:v>
                </c:pt>
                <c:pt idx="78">
                  <c:v>0.3702462691905807</c:v>
                </c:pt>
                <c:pt idx="79">
                  <c:v>0.3702462691905807</c:v>
                </c:pt>
                <c:pt idx="80">
                  <c:v>0.3702462691905807</c:v>
                </c:pt>
                <c:pt idx="81">
                  <c:v>0.3702462691905807</c:v>
                </c:pt>
                <c:pt idx="82">
                  <c:v>0.3702462691905807</c:v>
                </c:pt>
                <c:pt idx="83">
                  <c:v>0.3702462691905807</c:v>
                </c:pt>
                <c:pt idx="84">
                  <c:v>0.3702462691905807</c:v>
                </c:pt>
                <c:pt idx="85">
                  <c:v>0.3702462691905807</c:v>
                </c:pt>
                <c:pt idx="86">
                  <c:v>0.3702462691905807</c:v>
                </c:pt>
                <c:pt idx="87">
                  <c:v>0.3702462691905807</c:v>
                </c:pt>
                <c:pt idx="88">
                  <c:v>0.3702462691905807</c:v>
                </c:pt>
                <c:pt idx="89">
                  <c:v>0.3702462691905807</c:v>
                </c:pt>
                <c:pt idx="90">
                  <c:v>0.3702462691905807</c:v>
                </c:pt>
                <c:pt idx="91">
                  <c:v>0.3702462691905807</c:v>
                </c:pt>
                <c:pt idx="92">
                  <c:v>0.3702462691905807</c:v>
                </c:pt>
                <c:pt idx="93">
                  <c:v>0.3702462691905807</c:v>
                </c:pt>
                <c:pt idx="94">
                  <c:v>0.3702462691905807</c:v>
                </c:pt>
                <c:pt idx="95">
                  <c:v>0.3702462691905807</c:v>
                </c:pt>
                <c:pt idx="96">
                  <c:v>0.3702462691905807</c:v>
                </c:pt>
                <c:pt idx="97">
                  <c:v>0.3702462691905807</c:v>
                </c:pt>
                <c:pt idx="98">
                  <c:v>0.3702462691905807</c:v>
                </c:pt>
                <c:pt idx="99">
                  <c:v>0.3702462691905807</c:v>
                </c:pt>
              </c:numCache>
            </c:numRef>
          </c:yVal>
          <c:smooth val="0"/>
        </c:ser>
        <c:axId val="7404380"/>
        <c:axId val="66639421"/>
      </c:scatterChart>
      <c:valAx>
        <c:axId val="7404380"/>
        <c:scaling>
          <c:orientation val="minMax"/>
          <c:max val="101"/>
          <c:min val="1"/>
        </c:scaling>
        <c:axPos val="b"/>
        <c:delete val="0"/>
        <c:numFmt formatCode="General" sourceLinked="1"/>
        <c:majorTickMark val="out"/>
        <c:minorTickMark val="none"/>
        <c:tickLblPos val="nextTo"/>
        <c:crossAx val="66639421"/>
        <c:crosses val="autoZero"/>
        <c:crossBetween val="midCat"/>
        <c:dispUnits/>
        <c:majorUnit val="101"/>
      </c:valAx>
      <c:valAx>
        <c:axId val="66639421"/>
        <c:scaling>
          <c:orientation val="minMax"/>
          <c:max val="5"/>
          <c:min val="0"/>
        </c:scaling>
        <c:axPos val="l"/>
        <c:majorGridlines/>
        <c:delete val="0"/>
        <c:numFmt formatCode="General" sourceLinked="1"/>
        <c:majorTickMark val="out"/>
        <c:minorTickMark val="none"/>
        <c:tickLblPos val="nextTo"/>
        <c:crossAx val="7404380"/>
        <c:crosses val="autoZero"/>
        <c:crossBetween val="midCat"/>
        <c:dispUnits/>
        <c:majorUnit val="1"/>
        <c:minorUnit val="0.1"/>
      </c:valAx>
      <c:spPr>
        <a:solidFill>
          <a:srgbClr val="FFFFFF"/>
        </a:solidFill>
        <a:ln w="12700">
          <a:solidFill/>
        </a:ln>
      </c:spPr>
    </c:plotArea>
    <c:legend>
      <c:legendPos val="r"/>
      <c:layout>
        <c:manualLayout>
          <c:xMode val="edge"/>
          <c:yMode val="edge"/>
          <c:x val="0.796"/>
          <c:y val="0.629"/>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'Задача1-Прим'!$G$12</c:f>
              <c:strCache>
                <c:ptCount val="1"/>
                <c:pt idx="0">
                  <c:v>VSN</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'Задача1-Прим'!$G$13:$G$112</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0.27</c:v>
                </c:pt>
                <c:pt idx="15">
                  <c:v>0.432</c:v>
                </c:pt>
                <c:pt idx="16">
                  <c:v>0.432</c:v>
                </c:pt>
                <c:pt idx="17">
                  <c:v>0.8099999999999999</c:v>
                </c:pt>
                <c:pt idx="18">
                  <c:v>1.512</c:v>
                </c:pt>
                <c:pt idx="19">
                  <c:v>1.6199999999999999</c:v>
                </c:pt>
                <c:pt idx="20">
                  <c:v>1.944</c:v>
                </c:pt>
                <c:pt idx="21">
                  <c:v>2.7540000000000004</c:v>
                </c:pt>
                <c:pt idx="22">
                  <c:v>3.024</c:v>
                </c:pt>
                <c:pt idx="23">
                  <c:v>3.132</c:v>
                </c:pt>
                <c:pt idx="24">
                  <c:v>3.2399999999999998</c:v>
                </c:pt>
                <c:pt idx="25">
                  <c:v>4.32</c:v>
                </c:pt>
                <c:pt idx="26">
                  <c:v>4.32</c:v>
                </c:pt>
                <c:pt idx="27">
                  <c:v>4.32</c:v>
                </c:pt>
                <c:pt idx="28">
                  <c:v>4.374</c:v>
                </c:pt>
                <c:pt idx="29">
                  <c:v>4.3740000000000006</c:v>
                </c:pt>
                <c:pt idx="30">
                  <c:v>5.184</c:v>
                </c:pt>
                <c:pt idx="31">
                  <c:v>5.184</c:v>
                </c:pt>
                <c:pt idx="32">
                  <c:v>5.6160000000000005</c:v>
                </c:pt>
                <c:pt idx="33">
                  <c:v>5.670000000000001</c:v>
                </c:pt>
                <c:pt idx="34">
                  <c:v>6.21</c:v>
                </c:pt>
                <c:pt idx="35">
                  <c:v>6.3180000000000005</c:v>
                </c:pt>
                <c:pt idx="36">
                  <c:v>6.4799999999999995</c:v>
                </c:pt>
                <c:pt idx="37">
                  <c:v>6.803999999999999</c:v>
                </c:pt>
                <c:pt idx="38">
                  <c:v>7.938000000000001</c:v>
                </c:pt>
                <c:pt idx="39">
                  <c:v>7.992000000000001</c:v>
                </c:pt>
                <c:pt idx="40">
                  <c:v>8.424</c:v>
                </c:pt>
                <c:pt idx="41">
                  <c:v>8.64</c:v>
                </c:pt>
                <c:pt idx="42">
                  <c:v>8.964</c:v>
                </c:pt>
                <c:pt idx="43">
                  <c:v>9.072000000000001</c:v>
                </c:pt>
                <c:pt idx="44">
                  <c:v>9.882</c:v>
                </c:pt>
                <c:pt idx="45">
                  <c:v>9.936</c:v>
                </c:pt>
                <c:pt idx="46">
                  <c:v>10.26</c:v>
                </c:pt>
                <c:pt idx="47">
                  <c:v>10.962</c:v>
                </c:pt>
                <c:pt idx="48">
                  <c:v>11.501999999999999</c:v>
                </c:pt>
                <c:pt idx="49">
                  <c:v>11.879999999999999</c:v>
                </c:pt>
                <c:pt idx="50">
                  <c:v>12.15</c:v>
                </c:pt>
                <c:pt idx="51">
                  <c:v>13.5</c:v>
                </c:pt>
                <c:pt idx="52">
                  <c:v>13.824</c:v>
                </c:pt>
                <c:pt idx="53">
                  <c:v>13.824</c:v>
                </c:pt>
                <c:pt idx="54">
                  <c:v>13.932</c:v>
                </c:pt>
                <c:pt idx="55">
                  <c:v>14.688</c:v>
                </c:pt>
                <c:pt idx="56">
                  <c:v>14.688</c:v>
                </c:pt>
                <c:pt idx="57">
                  <c:v>15.066</c:v>
                </c:pt>
                <c:pt idx="58">
                  <c:v>15.066</c:v>
                </c:pt>
                <c:pt idx="59">
                  <c:v>15.12</c:v>
                </c:pt>
                <c:pt idx="60">
                  <c:v>15.12</c:v>
                </c:pt>
                <c:pt idx="61">
                  <c:v>15.552000000000001</c:v>
                </c:pt>
                <c:pt idx="62">
                  <c:v>17.009999999999998</c:v>
                </c:pt>
                <c:pt idx="63">
                  <c:v>18.09</c:v>
                </c:pt>
                <c:pt idx="64">
                  <c:v>18.576</c:v>
                </c:pt>
                <c:pt idx="65">
                  <c:v>19.278</c:v>
                </c:pt>
                <c:pt idx="66">
                  <c:v>19.439999999999998</c:v>
                </c:pt>
                <c:pt idx="67">
                  <c:v>20.52</c:v>
                </c:pt>
                <c:pt idx="68">
                  <c:v>21.06</c:v>
                </c:pt>
                <c:pt idx="69">
                  <c:v>22.14</c:v>
                </c:pt>
                <c:pt idx="70">
                  <c:v>23.328</c:v>
                </c:pt>
                <c:pt idx="71">
                  <c:v>23.436</c:v>
                </c:pt>
                <c:pt idx="72">
                  <c:v>23.759999999999998</c:v>
                </c:pt>
                <c:pt idx="73">
                  <c:v>24.03</c:v>
                </c:pt>
                <c:pt idx="74">
                  <c:v>25.380000000000003</c:v>
                </c:pt>
                <c:pt idx="75">
                  <c:v>25.488</c:v>
                </c:pt>
                <c:pt idx="76">
                  <c:v>25.758</c:v>
                </c:pt>
                <c:pt idx="77">
                  <c:v>27</c:v>
                </c:pt>
                <c:pt idx="78">
                  <c:v>27.215999999999998</c:v>
                </c:pt>
                <c:pt idx="79">
                  <c:v>27.702</c:v>
                </c:pt>
                <c:pt idx="80">
                  <c:v>28.187999999999995</c:v>
                </c:pt>
                <c:pt idx="81">
                  <c:v>29.807999999999996</c:v>
                </c:pt>
                <c:pt idx="82">
                  <c:v>31.752000000000002</c:v>
                </c:pt>
                <c:pt idx="83">
                  <c:v>32.4</c:v>
                </c:pt>
                <c:pt idx="84">
                  <c:v>32.832</c:v>
                </c:pt>
                <c:pt idx="85">
                  <c:v>34.019999999999996</c:v>
                </c:pt>
                <c:pt idx="86">
                  <c:v>35.64</c:v>
                </c:pt>
                <c:pt idx="87">
                  <c:v>35.91</c:v>
                </c:pt>
                <c:pt idx="88">
                  <c:v>36.449999999999996</c:v>
                </c:pt>
                <c:pt idx="89">
                  <c:v>37.26</c:v>
                </c:pt>
                <c:pt idx="90">
                  <c:v>37.908</c:v>
                </c:pt>
                <c:pt idx="91">
                  <c:v>38.394000000000005</c:v>
                </c:pt>
                <c:pt idx="92">
                  <c:v>38.879999999999995</c:v>
                </c:pt>
                <c:pt idx="93">
                  <c:v>39.852</c:v>
                </c:pt>
                <c:pt idx="94">
                  <c:v>45.9</c:v>
                </c:pt>
                <c:pt idx="95">
                  <c:v>47.141999999999996</c:v>
                </c:pt>
                <c:pt idx="96">
                  <c:v>47.519999999999996</c:v>
                </c:pt>
                <c:pt idx="97">
                  <c:v>48.6</c:v>
                </c:pt>
                <c:pt idx="98">
                  <c:v>49.14</c:v>
                </c:pt>
                <c:pt idx="99">
                  <c:v>50.760000000000005</c:v>
                </c:pt>
              </c:numCache>
            </c:numRef>
          </c:val>
        </c:ser>
        <c:ser>
          <c:idx val="1"/>
          <c:order val="1"/>
          <c:tx>
            <c:strRef>
              <c:f>'Задача1-Прим'!$H$12</c:f>
              <c:strCache>
                <c:ptCount val="1"/>
                <c:pt idx="0">
                  <c:v>VSR</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val>
            <c:numRef>
              <c:f>'Задача1-Прим'!$H$13:$H$112</c:f>
              <c:numCache>
                <c:ptCount val="100"/>
                <c:pt idx="0">
                  <c:v>1094.8</c:v>
                </c:pt>
                <c:pt idx="1">
                  <c:v>598.4</c:v>
                </c:pt>
                <c:pt idx="2">
                  <c:v>1109.25</c:v>
                </c:pt>
                <c:pt idx="3">
                  <c:v>583.9499999999999</c:v>
                </c:pt>
                <c:pt idx="4">
                  <c:v>1123.7</c:v>
                </c:pt>
                <c:pt idx="5">
                  <c:v>722.5</c:v>
                </c:pt>
                <c:pt idx="6">
                  <c:v>1213.8</c:v>
                </c:pt>
                <c:pt idx="7">
                  <c:v>1488.35</c:v>
                </c:pt>
                <c:pt idx="8">
                  <c:v>465.8</c:v>
                </c:pt>
                <c:pt idx="9">
                  <c:v>1629.45</c:v>
                </c:pt>
                <c:pt idx="10">
                  <c:v>1179.8</c:v>
                </c:pt>
                <c:pt idx="11">
                  <c:v>413.09999999999997</c:v>
                </c:pt>
                <c:pt idx="12">
                  <c:v>1634.55</c:v>
                </c:pt>
                <c:pt idx="13">
                  <c:v>320.45</c:v>
                </c:pt>
                <c:pt idx="14">
                  <c:v>1087.1499999999999</c:v>
                </c:pt>
                <c:pt idx="15">
                  <c:v>291.55</c:v>
                </c:pt>
                <c:pt idx="16">
                  <c:v>493</c:v>
                </c:pt>
                <c:pt idx="17">
                  <c:v>1312.3999999999999</c:v>
                </c:pt>
                <c:pt idx="18">
                  <c:v>499.8</c:v>
                </c:pt>
                <c:pt idx="19">
                  <c:v>9.35</c:v>
                </c:pt>
                <c:pt idx="20">
                  <c:v>0</c:v>
                </c:pt>
                <c:pt idx="21">
                  <c:v>857.65</c:v>
                </c:pt>
                <c:pt idx="22">
                  <c:v>1306.45</c:v>
                </c:pt>
                <c:pt idx="23">
                  <c:v>708.05</c:v>
                </c:pt>
                <c:pt idx="24">
                  <c:v>1700</c:v>
                </c:pt>
                <c:pt idx="25">
                  <c:v>297.5</c:v>
                </c:pt>
                <c:pt idx="26">
                  <c:v>962.1999999999999</c:v>
                </c:pt>
                <c:pt idx="27">
                  <c:v>999.6</c:v>
                </c:pt>
                <c:pt idx="28">
                  <c:v>7.6499999999999995</c:v>
                </c:pt>
                <c:pt idx="29">
                  <c:v>0</c:v>
                </c:pt>
                <c:pt idx="30">
                  <c:v>1666.85</c:v>
                </c:pt>
                <c:pt idx="31">
                  <c:v>1414.3999999999999</c:v>
                </c:pt>
                <c:pt idx="32">
                  <c:v>479.4</c:v>
                </c:pt>
                <c:pt idx="33">
                  <c:v>201.45</c:v>
                </c:pt>
                <c:pt idx="34">
                  <c:v>619.65</c:v>
                </c:pt>
                <c:pt idx="35">
                  <c:v>834.6999999999999</c:v>
                </c:pt>
                <c:pt idx="36">
                  <c:v>73.95</c:v>
                </c:pt>
                <c:pt idx="37">
                  <c:v>1569.1</c:v>
                </c:pt>
                <c:pt idx="38">
                  <c:v>1325.1499999999999</c:v>
                </c:pt>
                <c:pt idx="39">
                  <c:v>1227.3999999999999</c:v>
                </c:pt>
                <c:pt idx="40">
                  <c:v>1193.3999999999999</c:v>
                </c:pt>
                <c:pt idx="41">
                  <c:v>0</c:v>
                </c:pt>
                <c:pt idx="42">
                  <c:v>820.25</c:v>
                </c:pt>
                <c:pt idx="43">
                  <c:v>744.6</c:v>
                </c:pt>
                <c:pt idx="44">
                  <c:v>872.9499999999999</c:v>
                </c:pt>
                <c:pt idx="45">
                  <c:v>280.5</c:v>
                </c:pt>
                <c:pt idx="46">
                  <c:v>1620.1</c:v>
                </c:pt>
                <c:pt idx="47">
                  <c:v>400.34999999999997</c:v>
                </c:pt>
                <c:pt idx="48">
                  <c:v>368.9</c:v>
                </c:pt>
                <c:pt idx="49">
                  <c:v>37.400000000000006</c:v>
                </c:pt>
                <c:pt idx="50">
                  <c:v>1072.7</c:v>
                </c:pt>
                <c:pt idx="51">
                  <c:v>1689.8</c:v>
                </c:pt>
                <c:pt idx="52">
                  <c:v>1397.3999999999999</c:v>
                </c:pt>
                <c:pt idx="53">
                  <c:v>0</c:v>
                </c:pt>
                <c:pt idx="54">
                  <c:v>1502.8</c:v>
                </c:pt>
                <c:pt idx="55">
                  <c:v>30.599999999999994</c:v>
                </c:pt>
                <c:pt idx="56">
                  <c:v>1425.45</c:v>
                </c:pt>
                <c:pt idx="57">
                  <c:v>1693.2</c:v>
                </c:pt>
                <c:pt idx="58">
                  <c:v>1337.05</c:v>
                </c:pt>
                <c:pt idx="59">
                  <c:v>0</c:v>
                </c:pt>
                <c:pt idx="60">
                  <c:v>126.64999999999998</c:v>
                </c:pt>
                <c:pt idx="61">
                  <c:v>513.4</c:v>
                </c:pt>
                <c:pt idx="62">
                  <c:v>216.75</c:v>
                </c:pt>
                <c:pt idx="63">
                  <c:v>634.1</c:v>
                </c:pt>
                <c:pt idx="64">
                  <c:v>0</c:v>
                </c:pt>
                <c:pt idx="65">
                  <c:v>1293.7</c:v>
                </c:pt>
                <c:pt idx="66">
                  <c:v>269.45</c:v>
                </c:pt>
                <c:pt idx="67">
                  <c:v>1557.2</c:v>
                </c:pt>
                <c:pt idx="68">
                  <c:v>192.1</c:v>
                </c:pt>
                <c:pt idx="69">
                  <c:v>83.3</c:v>
                </c:pt>
                <c:pt idx="70">
                  <c:v>308.55</c:v>
                </c:pt>
                <c:pt idx="71">
                  <c:v>1577.6</c:v>
                </c:pt>
                <c:pt idx="72">
                  <c:v>1660.8999999999999</c:v>
                </c:pt>
                <c:pt idx="73">
                  <c:v>1058.25</c:v>
                </c:pt>
                <c:pt idx="74">
                  <c:v>0</c:v>
                </c:pt>
                <c:pt idx="75">
                  <c:v>68</c:v>
                </c:pt>
                <c:pt idx="76">
                  <c:v>5.949999999999999</c:v>
                </c:pt>
                <c:pt idx="77">
                  <c:v>1700</c:v>
                </c:pt>
                <c:pt idx="78">
                  <c:v>1671.1</c:v>
                </c:pt>
                <c:pt idx="79">
                  <c:v>1478.1499999999999</c:v>
                </c:pt>
                <c:pt idx="80">
                  <c:v>1512.1499999999999</c:v>
                </c:pt>
                <c:pt idx="81">
                  <c:v>527</c:v>
                </c:pt>
                <c:pt idx="82">
                  <c:v>119</c:v>
                </c:pt>
                <c:pt idx="83">
                  <c:v>0</c:v>
                </c:pt>
                <c:pt idx="84">
                  <c:v>1385.5</c:v>
                </c:pt>
                <c:pt idx="85">
                  <c:v>1613.3</c:v>
                </c:pt>
                <c:pt idx="86">
                  <c:v>41.64999999999999</c:v>
                </c:pt>
                <c:pt idx="87">
                  <c:v>1280.1</c:v>
                </c:pt>
                <c:pt idx="88">
                  <c:v>1694.8999999999999</c:v>
                </c:pt>
                <c:pt idx="89">
                  <c:v>1687.25</c:v>
                </c:pt>
                <c:pt idx="90">
                  <c:v>0</c:v>
                </c:pt>
                <c:pt idx="91">
                  <c:v>226.95</c:v>
                </c:pt>
                <c:pt idx="92">
                  <c:v>0</c:v>
                </c:pt>
                <c:pt idx="93">
                  <c:v>1548.7</c:v>
                </c:pt>
                <c:pt idx="94">
                  <c:v>90.1</c:v>
                </c:pt>
                <c:pt idx="95">
                  <c:v>4.25</c:v>
                </c:pt>
                <c:pt idx="96">
                  <c:v>1655.8</c:v>
                </c:pt>
                <c:pt idx="97">
                  <c:v>1675.35</c:v>
                </c:pt>
                <c:pt idx="98">
                  <c:v>0</c:v>
                </c:pt>
                <c:pt idx="99">
                  <c:v>1699.1499999999999</c:v>
                </c:pt>
              </c:numCache>
            </c:numRef>
          </c:val>
        </c:ser>
        <c:overlap val="100"/>
        <c:gapWidth val="100"/>
        <c:axId val="53964666"/>
        <c:axId val="15919947"/>
      </c:barChart>
      <c:catAx>
        <c:axId val="53964666"/>
        <c:scaling>
          <c:orientation val="minMax"/>
        </c:scaling>
        <c:axPos val="b"/>
        <c:delete val="0"/>
        <c:numFmt formatCode="General" sourceLinked="1"/>
        <c:majorTickMark val="out"/>
        <c:minorTickMark val="none"/>
        <c:tickLblPos val="nextTo"/>
        <c:crossAx val="15919947"/>
        <c:crosses val="autoZero"/>
        <c:auto val="1"/>
        <c:lblOffset val="100"/>
        <c:tickLblSkip val="1000"/>
        <c:tickMarkSkip val="1000"/>
        <c:noMultiLvlLbl val="0"/>
      </c:catAx>
      <c:valAx>
        <c:axId val="15919947"/>
        <c:scaling>
          <c:orientation val="minMax"/>
        </c:scaling>
        <c:axPos val="l"/>
        <c:majorGridlines/>
        <c:delete val="0"/>
        <c:numFmt formatCode="0" sourceLinked="0"/>
        <c:majorTickMark val="out"/>
        <c:minorTickMark val="none"/>
        <c:tickLblPos val="nextTo"/>
        <c:crossAx val="5396466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45"/>
          <c:w val="0.919"/>
          <c:h val="0.971"/>
        </c:manualLayout>
      </c:layout>
      <c:scatterChart>
        <c:scatterStyle val="lineMarker"/>
        <c:varyColors val="0"/>
        <c:ser>
          <c:idx val="0"/>
          <c:order val="0"/>
          <c:tx>
            <c:strRef>
              <c:f>'Задача1-Прим'!$E$12</c:f>
              <c:strCache>
                <c:ptCount val="1"/>
                <c:pt idx="0">
                  <c:v>Z=VS/VB</c:v>
                </c:pt>
              </c:strCache>
            </c:strRef>
          </c:tx>
          <c:spPr>
            <a:ln w="3175">
              <a:noFill/>
            </a:ln>
          </c:spPr>
          <c:extLst>
            <c:ext xmlns:c14="http://schemas.microsoft.com/office/drawing/2007/8/2/chart" uri="{6F2FDCE9-48DA-4B69-8628-5D25D57E5C99}">
              <c14:invertSolidFillFmt>
                <c14:spPr>
                  <a:solidFill>
                    <a:srgbClr val="9999FF"/>
                  </a:solidFill>
                </c14:spPr>
              </c14:invertSolidFillFmt>
            </c:ext>
          </c:extLst>
          <c:marker>
            <c:symbol val="dot"/>
            <c:size val="5"/>
            <c:spPr>
              <a:solidFill>
                <a:srgbClr val="000080"/>
              </a:solidFill>
              <a:ln>
                <a:solidFill>
                  <a:srgbClr val="000080"/>
                </a:solidFill>
              </a:ln>
            </c:spPr>
          </c:marker>
          <c:yVal>
            <c:numRef>
              <c:f>'Задача1-Прим'!$E$13:$E$112</c:f>
              <c:numCach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483.2977777777777</c:v>
                </c:pt>
                <c:pt idx="15">
                  <c:v>81.10611111111112</c:v>
                </c:pt>
                <c:pt idx="16">
                  <c:v>137.06444444444443</c:v>
                </c:pt>
                <c:pt idx="17">
                  <c:v>194.5496296296296</c:v>
                </c:pt>
                <c:pt idx="18">
                  <c:v>39.78666666666667</c:v>
                </c:pt>
                <c:pt idx="19">
                  <c:v>0.8125925925925925</c:v>
                </c:pt>
                <c:pt idx="20">
                  <c:v>0.12</c:v>
                </c:pt>
                <c:pt idx="21">
                  <c:v>37.490370370370364</c:v>
                </c:pt>
                <c:pt idx="22">
                  <c:v>51.963253968253966</c:v>
                </c:pt>
                <c:pt idx="23">
                  <c:v>27.24835249042145</c:v>
                </c:pt>
                <c:pt idx="24">
                  <c:v>63.08296296296297</c:v>
                </c:pt>
                <c:pt idx="25">
                  <c:v>8.383888888888889</c:v>
                </c:pt>
                <c:pt idx="26">
                  <c:v>26.84777777777778</c:v>
                </c:pt>
                <c:pt idx="27">
                  <c:v>27.88666666666667</c:v>
                </c:pt>
                <c:pt idx="28">
                  <c:v>0.3298765432098766</c:v>
                </c:pt>
                <c:pt idx="29">
                  <c:v>0.12000000000000001</c:v>
                </c:pt>
                <c:pt idx="30">
                  <c:v>38.70449074074074</c:v>
                </c:pt>
                <c:pt idx="31">
                  <c:v>32.86074074074074</c:v>
                </c:pt>
                <c:pt idx="32">
                  <c:v>10.363589743589742</c:v>
                </c:pt>
                <c:pt idx="33">
                  <c:v>4.383492063492063</c:v>
                </c:pt>
                <c:pt idx="34">
                  <c:v>12.093913043478262</c:v>
                </c:pt>
                <c:pt idx="35">
                  <c:v>15.973751187084517</c:v>
                </c:pt>
                <c:pt idx="36">
                  <c:v>1.4894444444444446</c:v>
                </c:pt>
                <c:pt idx="37">
                  <c:v>27.79372134038801</c:v>
                </c:pt>
                <c:pt idx="38">
                  <c:v>20.152501889644743</c:v>
                </c:pt>
                <c:pt idx="39">
                  <c:v>18.549429429429424</c:v>
                </c:pt>
                <c:pt idx="40">
                  <c:v>17.119999999999997</c:v>
                </c:pt>
                <c:pt idx="41">
                  <c:v>0.12000000000000001</c:v>
                </c:pt>
                <c:pt idx="42">
                  <c:v>11.100589022757697</c:v>
                </c:pt>
                <c:pt idx="43">
                  <c:v>9.969206349206349</c:v>
                </c:pt>
                <c:pt idx="44">
                  <c:v>10.720485731633271</c:v>
                </c:pt>
                <c:pt idx="45">
                  <c:v>3.5076811594202897</c:v>
                </c:pt>
                <c:pt idx="46">
                  <c:v>19.068538011695907</c:v>
                </c:pt>
                <c:pt idx="47">
                  <c:v>4.502594417077175</c:v>
                </c:pt>
                <c:pt idx="48">
                  <c:v>3.968721961398018</c:v>
                </c:pt>
                <c:pt idx="49">
                  <c:v>0.49777777777777776</c:v>
                </c:pt>
                <c:pt idx="50">
                  <c:v>10.714567901234568</c:v>
                </c:pt>
                <c:pt idx="51">
                  <c:v>15.140444444444444</c:v>
                </c:pt>
                <c:pt idx="52">
                  <c:v>12.250208333333333</c:v>
                </c:pt>
                <c:pt idx="53">
                  <c:v>0.12</c:v>
                </c:pt>
                <c:pt idx="54">
                  <c:v>13.064013781223082</c:v>
                </c:pt>
                <c:pt idx="55">
                  <c:v>0.36999999999999994</c:v>
                </c:pt>
                <c:pt idx="56">
                  <c:v>11.765833333333333</c:v>
                </c:pt>
                <c:pt idx="57">
                  <c:v>13.606260454002388</c:v>
                </c:pt>
                <c:pt idx="58">
                  <c:v>10.769542015133412</c:v>
                </c:pt>
                <c:pt idx="59">
                  <c:v>0.12</c:v>
                </c:pt>
                <c:pt idx="60">
                  <c:v>1.12515873015873</c:v>
                </c:pt>
                <c:pt idx="61">
                  <c:v>4.081419753086419</c:v>
                </c:pt>
                <c:pt idx="62">
                  <c:v>1.649100529100529</c:v>
                </c:pt>
                <c:pt idx="63">
                  <c:v>4.326301824212273</c:v>
                </c:pt>
                <c:pt idx="64">
                  <c:v>0.12</c:v>
                </c:pt>
                <c:pt idx="65">
                  <c:v>8.172910052910053</c:v>
                </c:pt>
                <c:pt idx="66">
                  <c:v>1.7832716049382715</c:v>
                </c:pt>
                <c:pt idx="67">
                  <c:v>9.226432748538011</c:v>
                </c:pt>
                <c:pt idx="68">
                  <c:v>1.2145868945868945</c:v>
                </c:pt>
                <c:pt idx="69">
                  <c:v>0.571490514905149</c:v>
                </c:pt>
                <c:pt idx="70">
                  <c:v>1.7071913580246911</c:v>
                </c:pt>
                <c:pt idx="71">
                  <c:v>8.197828981054785</c:v>
                </c:pt>
                <c:pt idx="72">
                  <c:v>8.508383838383837</c:v>
                </c:pt>
                <c:pt idx="73">
                  <c:v>5.404644194756553</c:v>
                </c:pt>
                <c:pt idx="74">
                  <c:v>0.12</c:v>
                </c:pt>
                <c:pt idx="75">
                  <c:v>0.44015065913371</c:v>
                </c:pt>
                <c:pt idx="76">
                  <c:v>0.14771954344281388</c:v>
                </c:pt>
                <c:pt idx="77">
                  <c:v>7.6755555555555555</c:v>
                </c:pt>
                <c:pt idx="78">
                  <c:v>7.488165784832451</c:v>
                </c:pt>
                <c:pt idx="79">
                  <c:v>6.523075590210092</c:v>
                </c:pt>
                <c:pt idx="80">
                  <c:v>6.5574201787994895</c:v>
                </c:pt>
                <c:pt idx="81">
                  <c:v>2.2415780998389696</c:v>
                </c:pt>
                <c:pt idx="82">
                  <c:v>0.5697354497354498</c:v>
                </c:pt>
                <c:pt idx="83">
                  <c:v>0.12</c:v>
                </c:pt>
                <c:pt idx="84">
                  <c:v>5.183961988304094</c:v>
                </c:pt>
                <c:pt idx="85">
                  <c:v>5.810652557319224</c:v>
                </c:pt>
                <c:pt idx="86">
                  <c:v>0.2602356902356902</c:v>
                </c:pt>
                <c:pt idx="87">
                  <c:v>4.397694235588973</c:v>
                </c:pt>
                <c:pt idx="88">
                  <c:v>5.699917695473251</c:v>
                </c:pt>
                <c:pt idx="89">
                  <c:v>5.553977455716586</c:v>
                </c:pt>
                <c:pt idx="90">
                  <c:v>0.12</c:v>
                </c:pt>
                <c:pt idx="91">
                  <c:v>0.8293295827473042</c:v>
                </c:pt>
                <c:pt idx="92">
                  <c:v>0.11999999999999998</c:v>
                </c:pt>
                <c:pt idx="93">
                  <c:v>4.783354411321892</c:v>
                </c:pt>
                <c:pt idx="94">
                  <c:v>0.35555555555555557</c:v>
                </c:pt>
                <c:pt idx="95">
                  <c:v>0.13081837851597303</c:v>
                </c:pt>
                <c:pt idx="96">
                  <c:v>4.301313131313131</c:v>
                </c:pt>
                <c:pt idx="97">
                  <c:v>4.256666666666666</c:v>
                </c:pt>
                <c:pt idx="98">
                  <c:v>0.12</c:v>
                </c:pt>
                <c:pt idx="99">
                  <c:v>4.136903073286051</c:v>
                </c:pt>
              </c:numCache>
            </c:numRef>
          </c:yVal>
          <c:smooth val="0"/>
        </c:ser>
        <c:axId val="9061796"/>
        <c:axId val="14447301"/>
      </c:scatterChart>
      <c:valAx>
        <c:axId val="9061796"/>
        <c:scaling>
          <c:orientation val="minMax"/>
          <c:max val="101"/>
          <c:min val="1"/>
        </c:scaling>
        <c:axPos val="b"/>
        <c:delete val="0"/>
        <c:numFmt formatCode="General" sourceLinked="1"/>
        <c:majorTickMark val="out"/>
        <c:minorTickMark val="none"/>
        <c:tickLblPos val="nextTo"/>
        <c:crossAx val="14447301"/>
        <c:crosses val="autoZero"/>
        <c:crossBetween val="midCat"/>
        <c:dispUnits/>
        <c:majorUnit val="101"/>
      </c:valAx>
      <c:valAx>
        <c:axId val="14447301"/>
        <c:scaling>
          <c:orientation val="minMax"/>
          <c:max val="75"/>
          <c:min val="0"/>
        </c:scaling>
        <c:axPos val="l"/>
        <c:majorGridlines/>
        <c:delete val="0"/>
        <c:numFmt formatCode="General" sourceLinked="1"/>
        <c:majorTickMark val="out"/>
        <c:minorTickMark val="none"/>
        <c:tickLblPos val="nextTo"/>
        <c:crossAx val="9061796"/>
        <c:crosses val="autoZero"/>
        <c:crossBetween val="midCat"/>
        <c:dispUnits/>
        <c:majorUnit val="10"/>
      </c:valAx>
      <c:spPr>
        <a:solidFill>
          <a:srgbClr val="FFFFFF"/>
        </a:solidFill>
        <a:ln w="12700">
          <a:solidFill/>
        </a:ln>
      </c:spPr>
    </c:plotArea>
    <c:legend>
      <c:legendPos val="r"/>
      <c:layout>
        <c:manualLayout>
          <c:xMode val="edge"/>
          <c:yMode val="edge"/>
          <c:x val="0.71275"/>
          <c:y val="0.951"/>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'Задача2-П1+'!$B$36</c:f>
              <c:strCache>
                <c:ptCount val="1"/>
                <c:pt idx="0">
                  <c:v>PB</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'Задача2-П1+'!$B$37:$B$136</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2.25</c:v>
                </c:pt>
                <c:pt idx="15">
                  <c:v>3.6</c:v>
                </c:pt>
                <c:pt idx="16">
                  <c:v>3.6</c:v>
                </c:pt>
                <c:pt idx="17">
                  <c:v>6.75</c:v>
                </c:pt>
                <c:pt idx="18">
                  <c:v>12.6</c:v>
                </c:pt>
                <c:pt idx="19">
                  <c:v>13.5</c:v>
                </c:pt>
                <c:pt idx="20">
                  <c:v>16.2</c:v>
                </c:pt>
                <c:pt idx="21">
                  <c:v>22.950000000000003</c:v>
                </c:pt>
                <c:pt idx="22">
                  <c:v>25.2</c:v>
                </c:pt>
                <c:pt idx="23">
                  <c:v>26.1</c:v>
                </c:pt>
                <c:pt idx="24">
                  <c:v>27</c:v>
                </c:pt>
                <c:pt idx="25">
                  <c:v>36</c:v>
                </c:pt>
                <c:pt idx="26">
                  <c:v>36</c:v>
                </c:pt>
                <c:pt idx="27">
                  <c:v>36</c:v>
                </c:pt>
                <c:pt idx="28">
                  <c:v>36.449999999999996</c:v>
                </c:pt>
                <c:pt idx="29">
                  <c:v>36.45</c:v>
                </c:pt>
                <c:pt idx="30">
                  <c:v>43.2</c:v>
                </c:pt>
                <c:pt idx="31">
                  <c:v>43.2</c:v>
                </c:pt>
                <c:pt idx="32">
                  <c:v>46.800000000000004</c:v>
                </c:pt>
                <c:pt idx="33">
                  <c:v>47.25000000000001</c:v>
                </c:pt>
                <c:pt idx="34">
                  <c:v>51.75</c:v>
                </c:pt>
                <c:pt idx="35">
                  <c:v>52.650000000000006</c:v>
                </c:pt>
                <c:pt idx="36">
                  <c:v>54</c:v>
                </c:pt>
                <c:pt idx="37">
                  <c:v>56.699999999999996</c:v>
                </c:pt>
                <c:pt idx="38">
                  <c:v>66.15</c:v>
                </c:pt>
                <c:pt idx="39">
                  <c:v>66.60000000000001</c:v>
                </c:pt>
                <c:pt idx="40">
                  <c:v>70.2</c:v>
                </c:pt>
                <c:pt idx="41">
                  <c:v>72</c:v>
                </c:pt>
                <c:pt idx="42">
                  <c:v>74.7</c:v>
                </c:pt>
                <c:pt idx="43">
                  <c:v>75.60000000000001</c:v>
                </c:pt>
                <c:pt idx="44">
                  <c:v>82.35</c:v>
                </c:pt>
                <c:pt idx="45">
                  <c:v>82.8</c:v>
                </c:pt>
                <c:pt idx="46">
                  <c:v>85.5</c:v>
                </c:pt>
                <c:pt idx="47">
                  <c:v>91.35000000000001</c:v>
                </c:pt>
                <c:pt idx="48">
                  <c:v>95.85</c:v>
                </c:pt>
                <c:pt idx="49">
                  <c:v>99</c:v>
                </c:pt>
                <c:pt idx="50">
                  <c:v>101.25</c:v>
                </c:pt>
                <c:pt idx="51">
                  <c:v>112.5</c:v>
                </c:pt>
                <c:pt idx="52">
                  <c:v>115.2</c:v>
                </c:pt>
                <c:pt idx="53">
                  <c:v>115.2</c:v>
                </c:pt>
                <c:pt idx="54">
                  <c:v>116.10000000000001</c:v>
                </c:pt>
                <c:pt idx="55">
                  <c:v>122.4</c:v>
                </c:pt>
                <c:pt idx="56">
                  <c:v>122.4</c:v>
                </c:pt>
                <c:pt idx="57">
                  <c:v>125.55000000000001</c:v>
                </c:pt>
                <c:pt idx="58">
                  <c:v>125.55000000000001</c:v>
                </c:pt>
                <c:pt idx="59">
                  <c:v>126</c:v>
                </c:pt>
                <c:pt idx="60">
                  <c:v>126</c:v>
                </c:pt>
                <c:pt idx="61">
                  <c:v>129.60000000000002</c:v>
                </c:pt>
                <c:pt idx="62">
                  <c:v>141.75</c:v>
                </c:pt>
                <c:pt idx="63">
                  <c:v>150.75</c:v>
                </c:pt>
                <c:pt idx="64">
                  <c:v>154.8</c:v>
                </c:pt>
                <c:pt idx="65">
                  <c:v>160.65</c:v>
                </c:pt>
                <c:pt idx="66">
                  <c:v>162</c:v>
                </c:pt>
                <c:pt idx="67">
                  <c:v>171</c:v>
                </c:pt>
                <c:pt idx="68">
                  <c:v>175.5</c:v>
                </c:pt>
                <c:pt idx="69">
                  <c:v>184.5</c:v>
                </c:pt>
                <c:pt idx="70">
                  <c:v>194.4</c:v>
                </c:pt>
                <c:pt idx="71">
                  <c:v>195.3</c:v>
                </c:pt>
                <c:pt idx="72">
                  <c:v>198</c:v>
                </c:pt>
                <c:pt idx="73">
                  <c:v>200.25000000000003</c:v>
                </c:pt>
                <c:pt idx="74">
                  <c:v>211.50000000000003</c:v>
                </c:pt>
                <c:pt idx="75">
                  <c:v>212.4</c:v>
                </c:pt>
                <c:pt idx="76">
                  <c:v>214.65</c:v>
                </c:pt>
                <c:pt idx="77">
                  <c:v>225</c:v>
                </c:pt>
                <c:pt idx="78">
                  <c:v>226.79999999999998</c:v>
                </c:pt>
                <c:pt idx="79">
                  <c:v>230.85000000000002</c:v>
                </c:pt>
                <c:pt idx="80">
                  <c:v>234.89999999999998</c:v>
                </c:pt>
                <c:pt idx="81">
                  <c:v>248.39999999999998</c:v>
                </c:pt>
                <c:pt idx="82">
                  <c:v>264.6</c:v>
                </c:pt>
                <c:pt idx="83">
                  <c:v>270</c:v>
                </c:pt>
                <c:pt idx="84">
                  <c:v>273.6</c:v>
                </c:pt>
                <c:pt idx="85">
                  <c:v>283.5</c:v>
                </c:pt>
                <c:pt idx="86">
                  <c:v>297</c:v>
                </c:pt>
                <c:pt idx="87">
                  <c:v>299.25</c:v>
                </c:pt>
                <c:pt idx="88">
                  <c:v>303.75</c:v>
                </c:pt>
                <c:pt idx="89">
                  <c:v>310.5</c:v>
                </c:pt>
                <c:pt idx="90">
                  <c:v>315.90000000000003</c:v>
                </c:pt>
                <c:pt idx="91">
                  <c:v>319.95000000000005</c:v>
                </c:pt>
                <c:pt idx="92">
                  <c:v>324</c:v>
                </c:pt>
                <c:pt idx="93">
                  <c:v>332.09999999999997</c:v>
                </c:pt>
                <c:pt idx="94">
                  <c:v>382.5</c:v>
                </c:pt>
                <c:pt idx="95">
                  <c:v>392.84999999999997</c:v>
                </c:pt>
                <c:pt idx="96">
                  <c:v>396</c:v>
                </c:pt>
                <c:pt idx="97">
                  <c:v>405</c:v>
                </c:pt>
                <c:pt idx="98">
                  <c:v>409.5</c:v>
                </c:pt>
                <c:pt idx="99">
                  <c:v>423.00000000000006</c:v>
                </c:pt>
              </c:numCache>
            </c:numRef>
          </c:val>
        </c:ser>
        <c:gapWidth val="100"/>
        <c:axId val="62916846"/>
        <c:axId val="29380703"/>
      </c:barChart>
      <c:catAx>
        <c:axId val="62916846"/>
        <c:scaling>
          <c:orientation val="minMax"/>
        </c:scaling>
        <c:axPos val="b"/>
        <c:delete val="0"/>
        <c:numFmt formatCode="General" sourceLinked="1"/>
        <c:majorTickMark val="out"/>
        <c:minorTickMark val="none"/>
        <c:tickLblPos val="nextTo"/>
        <c:crossAx val="29380703"/>
        <c:crosses val="autoZero"/>
        <c:auto val="1"/>
        <c:lblOffset val="100"/>
        <c:tickLblSkip val="1000"/>
        <c:tickMarkSkip val="1000"/>
        <c:noMultiLvlLbl val="0"/>
      </c:catAx>
      <c:valAx>
        <c:axId val="29380703"/>
        <c:scaling>
          <c:orientation val="minMax"/>
        </c:scaling>
        <c:axPos val="l"/>
        <c:majorGridlines/>
        <c:delete val="0"/>
        <c:numFmt formatCode="General" sourceLinked="1"/>
        <c:majorTickMark val="out"/>
        <c:minorTickMark val="none"/>
        <c:tickLblPos val="nextTo"/>
        <c:crossAx val="62916846"/>
        <c:crossesAt val="1"/>
        <c:crossBetween val="between"/>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'Задача2-П1+'!$G$36</c:f>
              <c:strCache>
                <c:ptCount val="1"/>
                <c:pt idx="0">
                  <c:v>PSN</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'Задача2-П1+'!$G$37:$G$136</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0.273052493168055</c:v>
                </c:pt>
                <c:pt idx="15">
                  <c:v>0.436883989068888</c:v>
                </c:pt>
                <c:pt idx="16">
                  <c:v>0.436883989068888</c:v>
                </c:pt>
                <c:pt idx="17">
                  <c:v>0.819157479504165</c:v>
                </c:pt>
                <c:pt idx="18">
                  <c:v>1.529093961741108</c:v>
                </c:pt>
                <c:pt idx="19">
                  <c:v>1.63831495900833</c:v>
                </c:pt>
                <c:pt idx="20">
                  <c:v>1.847599095445329</c:v>
                </c:pt>
                <c:pt idx="21">
                  <c:v>2.785135430314161</c:v>
                </c:pt>
                <c:pt idx="22">
                  <c:v>3.058187923482216</c:v>
                </c:pt>
                <c:pt idx="23">
                  <c:v>3.167408920749438</c:v>
                </c:pt>
                <c:pt idx="24">
                  <c:v>3.27662991801666</c:v>
                </c:pt>
                <c:pt idx="25">
                  <c:v>4.36883989068888</c:v>
                </c:pt>
                <c:pt idx="26">
                  <c:v>4.36883989068888</c:v>
                </c:pt>
                <c:pt idx="27">
                  <c:v>4.36883989068888</c:v>
                </c:pt>
                <c:pt idx="28">
                  <c:v>4.423450389322491</c:v>
                </c:pt>
                <c:pt idx="29">
                  <c:v>4.583159415542066</c:v>
                </c:pt>
                <c:pt idx="30">
                  <c:v>5.242607868826656</c:v>
                </c:pt>
                <c:pt idx="31">
                  <c:v>5.242607868826656</c:v>
                </c:pt>
                <c:pt idx="32">
                  <c:v>5.6794918578955444</c:v>
                </c:pt>
                <c:pt idx="33">
                  <c:v>5.734102356529156</c:v>
                </c:pt>
                <c:pt idx="34">
                  <c:v>6.280207342865265</c:v>
                </c:pt>
                <c:pt idx="35">
                  <c:v>6.389428340132487</c:v>
                </c:pt>
                <c:pt idx="36">
                  <c:v>6.55325983603332</c:v>
                </c:pt>
                <c:pt idx="37">
                  <c:v>6.880922827834985</c:v>
                </c:pt>
                <c:pt idx="38">
                  <c:v>8.027743299140818</c:v>
                </c:pt>
                <c:pt idx="39">
                  <c:v>8.082353797774429</c:v>
                </c:pt>
                <c:pt idx="40">
                  <c:v>8.519237786843316</c:v>
                </c:pt>
                <c:pt idx="41">
                  <c:v>8.51562576720069</c:v>
                </c:pt>
                <c:pt idx="42">
                  <c:v>9.065342773179426</c:v>
                </c:pt>
                <c:pt idx="43">
                  <c:v>9.17456377044665</c:v>
                </c:pt>
                <c:pt idx="44">
                  <c:v>9.993721249950813</c:v>
                </c:pt>
                <c:pt idx="45">
                  <c:v>10.048331748584424</c:v>
                </c:pt>
                <c:pt idx="46">
                  <c:v>10.37599474038609</c:v>
                </c:pt>
                <c:pt idx="47">
                  <c:v>11.085931222623033</c:v>
                </c:pt>
                <c:pt idx="48">
                  <c:v>11.632036208959143</c:v>
                </c:pt>
                <c:pt idx="49">
                  <c:v>12.01430969939442</c:v>
                </c:pt>
                <c:pt idx="50">
                  <c:v>12.287362192562474</c:v>
                </c:pt>
                <c:pt idx="51">
                  <c:v>13.65262465840275</c:v>
                </c:pt>
                <c:pt idx="52">
                  <c:v>13.980287650204415</c:v>
                </c:pt>
                <c:pt idx="53">
                  <c:v>14.459921997601622</c:v>
                </c:pt>
                <c:pt idx="54">
                  <c:v>14.08950864747164</c:v>
                </c:pt>
                <c:pt idx="55">
                  <c:v>14.854055628342193</c:v>
                </c:pt>
                <c:pt idx="56">
                  <c:v>14.854055628342193</c:v>
                </c:pt>
                <c:pt idx="57">
                  <c:v>15.23632911877747</c:v>
                </c:pt>
                <c:pt idx="58">
                  <c:v>15.23632911877747</c:v>
                </c:pt>
                <c:pt idx="59">
                  <c:v>15.324804775960747</c:v>
                </c:pt>
                <c:pt idx="60">
                  <c:v>15.29093961741108</c:v>
                </c:pt>
                <c:pt idx="61">
                  <c:v>15.727823606479971</c:v>
                </c:pt>
                <c:pt idx="62">
                  <c:v>17.202307069587466</c:v>
                </c:pt>
                <c:pt idx="63">
                  <c:v>18.294517042259685</c:v>
                </c:pt>
                <c:pt idx="64">
                  <c:v>17.71829179442263</c:v>
                </c:pt>
                <c:pt idx="65">
                  <c:v>19.495948012199126</c:v>
                </c:pt>
                <c:pt idx="66">
                  <c:v>19.65977950809996</c:v>
                </c:pt>
                <c:pt idx="67">
                  <c:v>20.75198948077218</c:v>
                </c:pt>
                <c:pt idx="68">
                  <c:v>21.29809446710829</c:v>
                </c:pt>
                <c:pt idx="69">
                  <c:v>22.39030443978051</c:v>
                </c:pt>
                <c:pt idx="70">
                  <c:v>23.591735409719952</c:v>
                </c:pt>
                <c:pt idx="71">
                  <c:v>23.700956406987174</c:v>
                </c:pt>
                <c:pt idx="72">
                  <c:v>24.02861939878884</c:v>
                </c:pt>
                <c:pt idx="73">
                  <c:v>24.301671891956897</c:v>
                </c:pt>
                <c:pt idx="74">
                  <c:v>25.53681429276369</c:v>
                </c:pt>
                <c:pt idx="75">
                  <c:v>25.776155355064393</c:v>
                </c:pt>
                <c:pt idx="76">
                  <c:v>26.04920784823245</c:v>
                </c:pt>
                <c:pt idx="77">
                  <c:v>27.3052493168055</c:v>
                </c:pt>
                <c:pt idx="78">
                  <c:v>27.52369131133994</c:v>
                </c:pt>
                <c:pt idx="79">
                  <c:v>28.015185799042445</c:v>
                </c:pt>
                <c:pt idx="80">
                  <c:v>28.50668028674494</c:v>
                </c:pt>
                <c:pt idx="81">
                  <c:v>30.144995245753268</c:v>
                </c:pt>
                <c:pt idx="82">
                  <c:v>32.11097319656327</c:v>
                </c:pt>
                <c:pt idx="83">
                  <c:v>31.90620679381441</c:v>
                </c:pt>
                <c:pt idx="84">
                  <c:v>33.20318316923549</c:v>
                </c:pt>
                <c:pt idx="85">
                  <c:v>34.40461413917493</c:v>
                </c:pt>
                <c:pt idx="86">
                  <c:v>36.04292909818326</c:v>
                </c:pt>
                <c:pt idx="87">
                  <c:v>36.31598159135132</c:v>
                </c:pt>
                <c:pt idx="88">
                  <c:v>36.86208657768742</c:v>
                </c:pt>
                <c:pt idx="89">
                  <c:v>37.68124405719159</c:v>
                </c:pt>
                <c:pt idx="90">
                  <c:v>38.88219476547877</c:v>
                </c:pt>
                <c:pt idx="91">
                  <c:v>38.82806452849743</c:v>
                </c:pt>
                <c:pt idx="92">
                  <c:v>39.3734326172094</c:v>
                </c:pt>
                <c:pt idx="93">
                  <c:v>40.30254799160491</c:v>
                </c:pt>
                <c:pt idx="94">
                  <c:v>46.41892383856935</c:v>
                </c:pt>
                <c:pt idx="95">
                  <c:v>52.03677340166176</c:v>
                </c:pt>
                <c:pt idx="96">
                  <c:v>48.05723879757768</c:v>
                </c:pt>
                <c:pt idx="97">
                  <c:v>49.1494487702499</c:v>
                </c:pt>
                <c:pt idx="98">
                  <c:v>49.40041131637259</c:v>
                </c:pt>
                <c:pt idx="99">
                  <c:v>51.33386871559435</c:v>
                </c:pt>
              </c:numCache>
            </c:numRef>
          </c:val>
        </c:ser>
        <c:ser>
          <c:idx val="1"/>
          <c:order val="1"/>
          <c:tx>
            <c:strRef>
              <c:f>'Задача2-П1+'!$H$36</c:f>
              <c:strCache>
                <c:ptCount val="1"/>
                <c:pt idx="0">
                  <c:v>PSR</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val>
            <c:numRef>
              <c:f>'Задача2-П1+'!$H$37:$H$136</c:f>
              <c:numCache>
                <c:ptCount val="100"/>
                <c:pt idx="0">
                  <c:v>1094.8</c:v>
                </c:pt>
                <c:pt idx="1">
                  <c:v>598.4</c:v>
                </c:pt>
                <c:pt idx="2">
                  <c:v>1109.25</c:v>
                </c:pt>
                <c:pt idx="3">
                  <c:v>583.9499999999999</c:v>
                </c:pt>
                <c:pt idx="4">
                  <c:v>1123.7</c:v>
                </c:pt>
                <c:pt idx="5">
                  <c:v>722.5</c:v>
                </c:pt>
                <c:pt idx="6">
                  <c:v>1213.8</c:v>
                </c:pt>
                <c:pt idx="7">
                  <c:v>1488.35</c:v>
                </c:pt>
                <c:pt idx="8">
                  <c:v>465.8</c:v>
                </c:pt>
                <c:pt idx="9">
                  <c:v>1629.45</c:v>
                </c:pt>
                <c:pt idx="10">
                  <c:v>1179.8</c:v>
                </c:pt>
                <c:pt idx="11">
                  <c:v>413.09999999999997</c:v>
                </c:pt>
                <c:pt idx="12">
                  <c:v>1634.55</c:v>
                </c:pt>
                <c:pt idx="13">
                  <c:v>320.45</c:v>
                </c:pt>
                <c:pt idx="14">
                  <c:v>1087.1583073651268</c:v>
                </c:pt>
                <c:pt idx="15">
                  <c:v>291.5647568353506</c:v>
                </c:pt>
                <c:pt idx="16">
                  <c:v>493.0164861490582</c:v>
                </c:pt>
                <c:pt idx="17">
                  <c:v>1312.3520060873718</c:v>
                </c:pt>
                <c:pt idx="18">
                  <c:v>499.7256917696136</c:v>
                </c:pt>
                <c:pt idx="19">
                  <c:v>9.343115761644519</c:v>
                </c:pt>
                <c:pt idx="20">
                  <c:v>0</c:v>
                </c:pt>
                <c:pt idx="21">
                  <c:v>857.486480135054</c:v>
                </c:pt>
                <c:pt idx="22">
                  <c:v>1306.5151484502442</c:v>
                </c:pt>
                <c:pt idx="23">
                  <c:v>708.1700749359405</c:v>
                </c:pt>
                <c:pt idx="24">
                  <c:v>1699.9181047712752</c:v>
                </c:pt>
                <c:pt idx="25">
                  <c:v>297.333651549359</c:v>
                </c:pt>
                <c:pt idx="26">
                  <c:v>962.3483562834683</c:v>
                </c:pt>
                <c:pt idx="27">
                  <c:v>999.3364801600637</c:v>
                </c:pt>
                <c:pt idx="28">
                  <c:v>7.6906799233998795</c:v>
                </c:pt>
                <c:pt idx="29">
                  <c:v>0</c:v>
                </c:pt>
                <c:pt idx="30">
                  <c:v>1666.6523124308276</c:v>
                </c:pt>
                <c:pt idx="31">
                  <c:v>1414.106666219741</c:v>
                </c:pt>
                <c:pt idx="32">
                  <c:v>479.6135531699494</c:v>
                </c:pt>
                <c:pt idx="33">
                  <c:v>201.6230895169958</c:v>
                </c:pt>
                <c:pt idx="34">
                  <c:v>619.3170412216383</c:v>
                </c:pt>
                <c:pt idx="35">
                  <c:v>834.9330346223946</c:v>
                </c:pt>
                <c:pt idx="36">
                  <c:v>74.08743342417759</c:v>
                </c:pt>
                <c:pt idx="37">
                  <c:v>1568.767591310813</c:v>
                </c:pt>
                <c:pt idx="38">
                  <c:v>1324.6817122729788</c:v>
                </c:pt>
                <c:pt idx="39">
                  <c:v>1226.9159817565424</c:v>
                </c:pt>
                <c:pt idx="40">
                  <c:v>1193.6259518324985</c:v>
                </c:pt>
                <c:pt idx="41">
                  <c:v>0</c:v>
                </c:pt>
                <c:pt idx="42">
                  <c:v>820.5826781782857</c:v>
                </c:pt>
                <c:pt idx="43">
                  <c:v>744.0817020554189</c:v>
                </c:pt>
                <c:pt idx="44">
                  <c:v>872.360919959888</c:v>
                </c:pt>
                <c:pt idx="45">
                  <c:v>280.8356767025275</c:v>
                </c:pt>
                <c:pt idx="46">
                  <c:v>1620.0608922681708</c:v>
                </c:pt>
                <c:pt idx="47">
                  <c:v>399.86233104543976</c:v>
                </c:pt>
                <c:pt idx="48">
                  <c:v>369.3169153221274</c:v>
                </c:pt>
                <c:pt idx="49">
                  <c:v>37.26043262288708</c:v>
                </c:pt>
                <c:pt idx="50">
                  <c:v>1073.079561698592</c:v>
                </c:pt>
                <c:pt idx="51">
                  <c:v>1689.5580379102812</c:v>
                </c:pt>
                <c:pt idx="52">
                  <c:v>1397.6248584718696</c:v>
                </c:pt>
                <c:pt idx="53">
                  <c:v>0</c:v>
                </c:pt>
                <c:pt idx="54">
                  <c:v>1502.0630770668133</c:v>
                </c:pt>
                <c:pt idx="55">
                  <c:v>30.82250269634435</c:v>
                </c:pt>
                <c:pt idx="56">
                  <c:v>1424.6245062829596</c:v>
                </c:pt>
                <c:pt idx="57">
                  <c:v>1692.7253093230006</c:v>
                </c:pt>
                <c:pt idx="58">
                  <c:v>1336.1653299442037</c:v>
                </c:pt>
                <c:pt idx="59">
                  <c:v>0</c:v>
                </c:pt>
                <c:pt idx="60">
                  <c:v>127.04236593191129</c:v>
                </c:pt>
                <c:pt idx="61">
                  <c:v>512.6267815688747</c:v>
                </c:pt>
                <c:pt idx="62">
                  <c:v>216.19352357000605</c:v>
                </c:pt>
                <c:pt idx="63">
                  <c:v>633.1216651367571</c:v>
                </c:pt>
                <c:pt idx="64">
                  <c:v>0</c:v>
                </c:pt>
                <c:pt idx="65">
                  <c:v>1294.1280858903965</c:v>
                </c:pt>
                <c:pt idx="66">
                  <c:v>270.09918524891975</c:v>
                </c:pt>
                <c:pt idx="67">
                  <c:v>1557.2720846809837</c:v>
                </c:pt>
                <c:pt idx="68">
                  <c:v>192.7325561323948</c:v>
                </c:pt>
                <c:pt idx="69">
                  <c:v>82.87410026585268</c:v>
                </c:pt>
                <c:pt idx="70">
                  <c:v>307.63449304369954</c:v>
                </c:pt>
                <c:pt idx="71">
                  <c:v>1576.4688716526791</c:v>
                </c:pt>
                <c:pt idx="72">
                  <c:v>1660.6524104882362</c:v>
                </c:pt>
                <c:pt idx="73">
                  <c:v>1059.0117014991267</c:v>
                </c:pt>
                <c:pt idx="74">
                  <c:v>0</c:v>
                </c:pt>
                <c:pt idx="75">
                  <c:v>68.52330356123373</c:v>
                </c:pt>
                <c:pt idx="76">
                  <c:v>6.168704152686736</c:v>
                </c:pt>
                <c:pt idx="77">
                  <c:v>1699.3405446306942</c:v>
                </c:pt>
                <c:pt idx="78">
                  <c:v>1670.08258208502</c:v>
                </c:pt>
                <c:pt idx="79">
                  <c:v>1478.4409460034512</c:v>
                </c:pt>
                <c:pt idx="80">
                  <c:v>1510.6730496543073</c:v>
                </c:pt>
                <c:pt idx="81">
                  <c:v>525.5012885240913</c:v>
                </c:pt>
                <c:pt idx="82">
                  <c:v>119.80503975558511</c:v>
                </c:pt>
                <c:pt idx="83">
                  <c:v>0</c:v>
                </c:pt>
                <c:pt idx="84">
                  <c:v>1386.0581391274966</c:v>
                </c:pt>
                <c:pt idx="85">
                  <c:v>1613.20005790704</c:v>
                </c:pt>
                <c:pt idx="86">
                  <c:v>41.19975674534603</c:v>
                </c:pt>
                <c:pt idx="87">
                  <c:v>1280.9208148174573</c:v>
                </c:pt>
                <c:pt idx="88">
                  <c:v>1693.7811813917788</c:v>
                </c:pt>
                <c:pt idx="89">
                  <c:v>1686.6149118347303</c:v>
                </c:pt>
                <c:pt idx="90">
                  <c:v>0</c:v>
                </c:pt>
                <c:pt idx="91">
                  <c:v>225.66337238138473</c:v>
                </c:pt>
                <c:pt idx="92">
                  <c:v>0</c:v>
                </c:pt>
                <c:pt idx="93">
                  <c:v>1548.8735916802711</c:v>
                </c:pt>
                <c:pt idx="94">
                  <c:v>89.17698261364862</c:v>
                </c:pt>
                <c:pt idx="95">
                  <c:v>0</c:v>
                </c:pt>
                <c:pt idx="96">
                  <c:v>1655.3468675697175</c:v>
                </c:pt>
                <c:pt idx="97">
                  <c:v>1673.5700827218534</c:v>
                </c:pt>
                <c:pt idx="98">
                  <c:v>0</c:v>
                </c:pt>
                <c:pt idx="99">
                  <c:v>1697.9536817452886</c:v>
                </c:pt>
              </c:numCache>
            </c:numRef>
          </c:val>
        </c:ser>
        <c:overlap val="100"/>
        <c:gapWidth val="100"/>
        <c:axId val="63099736"/>
        <c:axId val="31026713"/>
      </c:barChart>
      <c:catAx>
        <c:axId val="63099736"/>
        <c:scaling>
          <c:orientation val="minMax"/>
        </c:scaling>
        <c:axPos val="b"/>
        <c:delete val="0"/>
        <c:numFmt formatCode="General" sourceLinked="1"/>
        <c:majorTickMark val="out"/>
        <c:minorTickMark val="none"/>
        <c:tickLblPos val="nextTo"/>
        <c:crossAx val="31026713"/>
        <c:crosses val="autoZero"/>
        <c:auto val="1"/>
        <c:lblOffset val="100"/>
        <c:tickLblSkip val="1000"/>
        <c:tickMarkSkip val="1000"/>
        <c:noMultiLvlLbl val="0"/>
      </c:catAx>
      <c:valAx>
        <c:axId val="31026713"/>
        <c:scaling>
          <c:orientation val="minMax"/>
        </c:scaling>
        <c:axPos val="l"/>
        <c:majorGridlines/>
        <c:delete val="0"/>
        <c:numFmt formatCode="0" sourceLinked="0"/>
        <c:majorTickMark val="out"/>
        <c:minorTickMark val="none"/>
        <c:tickLblPos val="nextTo"/>
        <c:crossAx val="6309973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15"/>
          <c:w val="0.92"/>
          <c:h val="0.977"/>
        </c:manualLayout>
      </c:layout>
      <c:scatterChart>
        <c:scatterStyle val="lineMarker"/>
        <c:varyColors val="0"/>
        <c:ser>
          <c:idx val="0"/>
          <c:order val="0"/>
          <c:tx>
            <c:strRef>
              <c:f>'Задача2-П1+'!$E$36</c:f>
              <c:strCache>
                <c:ptCount val="1"/>
                <c:pt idx="0">
                  <c:v>Z=PS/PB</c:v>
                </c:pt>
              </c:strCache>
            </c:strRef>
          </c:tx>
          <c:spPr>
            <a:ln w="3175">
              <a:noFill/>
            </a:ln>
          </c:spPr>
          <c:extLst>
            <c:ext xmlns:c14="http://schemas.microsoft.com/office/drawing/2007/8/2/chart" uri="{6F2FDCE9-48DA-4B69-8628-5D25D57E5C99}">
              <c14:invertSolidFillFmt>
                <c14:spPr>
                  <a:solidFill>
                    <a:srgbClr val="9999FF"/>
                  </a:solidFill>
                </c14:spPr>
              </c14:invertSolidFillFmt>
            </c:ext>
          </c:extLst>
          <c:marker>
            <c:symbol val="dot"/>
            <c:size val="5"/>
            <c:spPr>
              <a:solidFill>
                <a:srgbClr val="000080"/>
              </a:solidFill>
              <a:ln>
                <a:solidFill>
                  <a:srgbClr val="000080"/>
                </a:solidFill>
              </a:ln>
            </c:spPr>
          </c:marker>
          <c:yVal>
            <c:numRef>
              <c:f>'Задача2-П1+'!$E$37:$E$136</c:f>
              <c:numCach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483.3028266036866</c:v>
                </c:pt>
                <c:pt idx="15">
                  <c:v>81.11156689567207</c:v>
                </c:pt>
                <c:pt idx="16">
                  <c:v>137.07038059392417</c:v>
                </c:pt>
                <c:pt idx="17">
                  <c:v>194.54387608398162</c:v>
                </c:pt>
                <c:pt idx="18">
                  <c:v>39.78212585169482</c:v>
                </c:pt>
                <c:pt idx="19">
                  <c:v>0.8134393126409518</c:v>
                </c:pt>
                <c:pt idx="20">
                  <c:v>0.1140493268793413</c:v>
                </c:pt>
                <c:pt idx="21">
                  <c:v>37.48460198541909</c:v>
                </c:pt>
                <c:pt idx="22">
                  <c:v>51.96719588784628</c:v>
                </c:pt>
                <c:pt idx="23">
                  <c:v>27.254309726309963</c:v>
                </c:pt>
                <c:pt idx="24">
                  <c:v>63.081286469973776</c:v>
                </c:pt>
                <c:pt idx="25">
                  <c:v>8.380624762223553</c:v>
                </c:pt>
                <c:pt idx="26">
                  <c:v>26.853255449282145</c:v>
                </c:pt>
                <c:pt idx="27">
                  <c:v>27.880703334743128</c:v>
                </c:pt>
                <c:pt idx="28">
                  <c:v>0.33234925412132704</c:v>
                </c:pt>
                <c:pt idx="29">
                  <c:v>0.12573825557042703</c:v>
                </c:pt>
                <c:pt idx="30">
                  <c:v>38.70127130323273</c:v>
                </c:pt>
                <c:pt idx="31">
                  <c:v>32.855307270568694</c:v>
                </c:pt>
                <c:pt idx="32">
                  <c:v>10.369509509141984</c:v>
                </c:pt>
                <c:pt idx="33">
                  <c:v>4.3885119973232785</c:v>
                </c:pt>
                <c:pt idx="34">
                  <c:v>12.08883572105321</c:v>
                </c:pt>
                <c:pt idx="35">
                  <c:v>15.979533959402222</c:v>
                </c:pt>
                <c:pt idx="36">
                  <c:v>1.4933461714853873</c:v>
                </c:pt>
                <c:pt idx="37">
                  <c:v>27.789215416907375</c:v>
                </c:pt>
                <c:pt idx="38">
                  <c:v>20.146779373728187</c:v>
                </c:pt>
                <c:pt idx="39">
                  <c:v>18.543518551866615</c:v>
                </c:pt>
                <c:pt idx="40">
                  <c:v>17.124575350702877</c:v>
                </c:pt>
                <c:pt idx="41">
                  <c:v>0.11827258010000959</c:v>
                </c:pt>
                <c:pt idx="42">
                  <c:v>11.106399209524298</c:v>
                </c:pt>
                <c:pt idx="43">
                  <c:v>9.963707219918854</c:v>
                </c:pt>
                <c:pt idx="44">
                  <c:v>10.714689025013222</c:v>
                </c:pt>
                <c:pt idx="45">
                  <c:v>3.5130918895061827</c:v>
                </c:pt>
                <c:pt idx="46">
                  <c:v>19.069437274953884</c:v>
                </c:pt>
                <c:pt idx="47">
                  <c:v>4.498612613771897</c:v>
                </c:pt>
                <c:pt idx="48">
                  <c:v>3.9744282893175438</c:v>
                </c:pt>
                <c:pt idx="49">
                  <c:v>0.49772466992203535</c:v>
                </c:pt>
                <c:pt idx="50">
                  <c:v>10.719673322381773</c:v>
                </c:pt>
                <c:pt idx="51">
                  <c:v>15.139650333943859</c:v>
                </c:pt>
                <c:pt idx="52">
                  <c:v>12.253516893420782</c:v>
                </c:pt>
                <c:pt idx="53">
                  <c:v>0.12552015622918075</c:v>
                </c:pt>
                <c:pt idx="54">
                  <c:v>13.059023132767312</c:v>
                </c:pt>
                <c:pt idx="55">
                  <c:v>0.37317449611672016</c:v>
                </c:pt>
                <c:pt idx="56">
                  <c:v>11.760445767249196</c:v>
                </c:pt>
                <c:pt idx="57">
                  <c:v>13.60383622813045</c:v>
                </c:pt>
                <c:pt idx="58">
                  <c:v>10.763852322285791</c:v>
                </c:pt>
                <c:pt idx="59">
                  <c:v>0.1216254347298472</c:v>
                </c:pt>
                <c:pt idx="60">
                  <c:v>1.1296294091216061</c:v>
                </c:pt>
                <c:pt idx="61">
                  <c:v>4.076810225118477</c:v>
                </c:pt>
                <c:pt idx="62">
                  <c:v>1.6465314330835523</c:v>
                </c:pt>
                <c:pt idx="63">
                  <c:v>4.32116870433842</c:v>
                </c:pt>
                <c:pt idx="64">
                  <c:v>0.11445924931797563</c:v>
                </c:pt>
                <c:pt idx="65">
                  <c:v>8.176931427965114</c:v>
                </c:pt>
                <c:pt idx="66">
                  <c:v>1.788635584919875</c:v>
                </c:pt>
                <c:pt idx="67">
                  <c:v>9.228210960010268</c:v>
                </c:pt>
                <c:pt idx="68">
                  <c:v>1.2195478666638353</c:v>
                </c:pt>
                <c:pt idx="69">
                  <c:v>0.5705387788923207</c:v>
                </c:pt>
                <c:pt idx="70">
                  <c:v>1.7038386237315817</c:v>
                </c:pt>
                <c:pt idx="71">
                  <c:v>8.193393896874891</c:v>
                </c:pt>
                <c:pt idx="72">
                  <c:v>8.50849004993447</c:v>
                </c:pt>
                <c:pt idx="73">
                  <c:v>5.4098046111914275</c:v>
                </c:pt>
                <c:pt idx="74">
                  <c:v>0.12074143873647133</c:v>
                </c:pt>
                <c:pt idx="75">
                  <c:v>0.4439710871765448</c:v>
                </c:pt>
                <c:pt idx="76">
                  <c:v>0.1500950943439049</c:v>
                </c:pt>
                <c:pt idx="77">
                  <c:v>7.6739813064333315</c:v>
                </c:pt>
                <c:pt idx="78">
                  <c:v>7.4850364788199295</c:v>
                </c:pt>
                <c:pt idx="79">
                  <c:v>6.525692578741579</c:v>
                </c:pt>
                <c:pt idx="80">
                  <c:v>6.552489271779704</c:v>
                </c:pt>
                <c:pt idx="81">
                  <c:v>2.236901303421275</c:v>
                </c:pt>
                <c:pt idx="82">
                  <c:v>0.5741345916558895</c:v>
                </c:pt>
                <c:pt idx="83">
                  <c:v>0.1181711362733867</c:v>
                </c:pt>
                <c:pt idx="84">
                  <c:v>5.1873586341254825</c:v>
                </c:pt>
                <c:pt idx="85">
                  <c:v>5.811656691521041</c:v>
                </c:pt>
                <c:pt idx="86">
                  <c:v>0.2600763833115464</c:v>
                </c:pt>
                <c:pt idx="87">
                  <c:v>4.401793805877389</c:v>
                </c:pt>
                <c:pt idx="88">
                  <c:v>5.697591005660795</c:v>
                </c:pt>
                <c:pt idx="89">
                  <c:v>5.5532887468338865</c:v>
                </c:pt>
                <c:pt idx="90">
                  <c:v>0.1230838707359252</c:v>
                </c:pt>
                <c:pt idx="91">
                  <c:v>0.826664906735059</c:v>
                </c:pt>
                <c:pt idx="92">
                  <c:v>0.12152294017657223</c:v>
                </c:pt>
                <c:pt idx="93">
                  <c:v>4.78523378401649</c:v>
                </c:pt>
                <c:pt idx="94">
                  <c:v>0.354499101835864</c:v>
                </c:pt>
                <c:pt idx="95">
                  <c:v>0.1324596497433162</c:v>
                </c:pt>
                <c:pt idx="96">
                  <c:v>4.301525521129533</c:v>
                </c:pt>
                <c:pt idx="97">
                  <c:v>4.253628472820008</c:v>
                </c:pt>
                <c:pt idx="98">
                  <c:v>0.12063592507050694</c:v>
                </c:pt>
                <c:pt idx="99">
                  <c:v>4.135431561373245</c:v>
                </c:pt>
              </c:numCache>
            </c:numRef>
          </c:yVal>
          <c:smooth val="0"/>
        </c:ser>
        <c:ser>
          <c:idx val="1"/>
          <c:order val="1"/>
          <c:tx>
            <c:strRef>
              <c:f>'Задача2-П1+'!$C$31</c:f>
              <c:strCache>
                <c:ptCount val="1"/>
                <c:pt idx="0">
                  <c:v>Z1=Z-3*DZ</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'Задача2-П1+'!$J$37:$J$136</c:f>
              <c:numCache>
                <c:ptCount val="100"/>
                <c:pt idx="0">
                  <c:v>0.1067513290196794</c:v>
                </c:pt>
                <c:pt idx="1">
                  <c:v>0.1067513290196794</c:v>
                </c:pt>
                <c:pt idx="2">
                  <c:v>0.1067513290196794</c:v>
                </c:pt>
                <c:pt idx="3">
                  <c:v>0.1067513290196794</c:v>
                </c:pt>
                <c:pt idx="4">
                  <c:v>0.1067513290196794</c:v>
                </c:pt>
                <c:pt idx="5">
                  <c:v>0.1067513290196794</c:v>
                </c:pt>
                <c:pt idx="6">
                  <c:v>0.1067513290196794</c:v>
                </c:pt>
                <c:pt idx="7">
                  <c:v>0.1067513290196794</c:v>
                </c:pt>
                <c:pt idx="8">
                  <c:v>0.1067513290196794</c:v>
                </c:pt>
                <c:pt idx="9">
                  <c:v>0.1067513290196794</c:v>
                </c:pt>
                <c:pt idx="10">
                  <c:v>0.1067513290196794</c:v>
                </c:pt>
                <c:pt idx="11">
                  <c:v>0.1067513290196794</c:v>
                </c:pt>
                <c:pt idx="12">
                  <c:v>0.1067513290196794</c:v>
                </c:pt>
                <c:pt idx="13">
                  <c:v>0.1067513290196794</c:v>
                </c:pt>
                <c:pt idx="14">
                  <c:v>0.1067513290196794</c:v>
                </c:pt>
                <c:pt idx="15">
                  <c:v>0.1067513290196794</c:v>
                </c:pt>
                <c:pt idx="16">
                  <c:v>0.1067513290196794</c:v>
                </c:pt>
                <c:pt idx="17">
                  <c:v>0.1067513290196794</c:v>
                </c:pt>
                <c:pt idx="18">
                  <c:v>0.1067513290196794</c:v>
                </c:pt>
                <c:pt idx="19">
                  <c:v>0.1067513290196794</c:v>
                </c:pt>
                <c:pt idx="20">
                  <c:v>0.1067513290196794</c:v>
                </c:pt>
                <c:pt idx="21">
                  <c:v>0.1067513290196794</c:v>
                </c:pt>
                <c:pt idx="22">
                  <c:v>0.1067513290196794</c:v>
                </c:pt>
                <c:pt idx="23">
                  <c:v>0.1067513290196794</c:v>
                </c:pt>
                <c:pt idx="24">
                  <c:v>0.1067513290196794</c:v>
                </c:pt>
                <c:pt idx="25">
                  <c:v>0.1067513290196794</c:v>
                </c:pt>
                <c:pt idx="26">
                  <c:v>0.1067513290196794</c:v>
                </c:pt>
                <c:pt idx="27">
                  <c:v>0.1067513290196794</c:v>
                </c:pt>
                <c:pt idx="28">
                  <c:v>0.1067513290196794</c:v>
                </c:pt>
                <c:pt idx="29">
                  <c:v>0.1067513290196794</c:v>
                </c:pt>
                <c:pt idx="30">
                  <c:v>0.1067513290196794</c:v>
                </c:pt>
                <c:pt idx="31">
                  <c:v>0.1067513290196794</c:v>
                </c:pt>
                <c:pt idx="32">
                  <c:v>0.1067513290196794</c:v>
                </c:pt>
                <c:pt idx="33">
                  <c:v>0.1067513290196794</c:v>
                </c:pt>
                <c:pt idx="34">
                  <c:v>0.1067513290196794</c:v>
                </c:pt>
                <c:pt idx="35">
                  <c:v>0.1067513290196794</c:v>
                </c:pt>
                <c:pt idx="36">
                  <c:v>0.1067513290196794</c:v>
                </c:pt>
                <c:pt idx="37">
                  <c:v>0.1067513290196794</c:v>
                </c:pt>
                <c:pt idx="38">
                  <c:v>0.1067513290196794</c:v>
                </c:pt>
                <c:pt idx="39">
                  <c:v>0.1067513290196794</c:v>
                </c:pt>
                <c:pt idx="40">
                  <c:v>0.1067513290196794</c:v>
                </c:pt>
                <c:pt idx="41">
                  <c:v>0.1067513290196794</c:v>
                </c:pt>
                <c:pt idx="42">
                  <c:v>0.1067513290196794</c:v>
                </c:pt>
                <c:pt idx="43">
                  <c:v>0.1067513290196794</c:v>
                </c:pt>
                <c:pt idx="44">
                  <c:v>0.1067513290196794</c:v>
                </c:pt>
                <c:pt idx="45">
                  <c:v>0.1067513290196794</c:v>
                </c:pt>
                <c:pt idx="46">
                  <c:v>0.1067513290196794</c:v>
                </c:pt>
                <c:pt idx="47">
                  <c:v>0.1067513290196794</c:v>
                </c:pt>
                <c:pt idx="48">
                  <c:v>0.1067513290196794</c:v>
                </c:pt>
                <c:pt idx="49">
                  <c:v>0.1067513290196794</c:v>
                </c:pt>
                <c:pt idx="50">
                  <c:v>0.1067513290196794</c:v>
                </c:pt>
                <c:pt idx="51">
                  <c:v>0.1067513290196794</c:v>
                </c:pt>
                <c:pt idx="52">
                  <c:v>0.1067513290196794</c:v>
                </c:pt>
                <c:pt idx="53">
                  <c:v>0.1067513290196794</c:v>
                </c:pt>
                <c:pt idx="54">
                  <c:v>0.1067513290196794</c:v>
                </c:pt>
                <c:pt idx="55">
                  <c:v>0.1067513290196794</c:v>
                </c:pt>
                <c:pt idx="56">
                  <c:v>0.1067513290196794</c:v>
                </c:pt>
                <c:pt idx="57">
                  <c:v>0.1067513290196794</c:v>
                </c:pt>
                <c:pt idx="58">
                  <c:v>0.1067513290196794</c:v>
                </c:pt>
                <c:pt idx="59">
                  <c:v>0.1067513290196794</c:v>
                </c:pt>
                <c:pt idx="60">
                  <c:v>0.1067513290196794</c:v>
                </c:pt>
                <c:pt idx="61">
                  <c:v>0.1067513290196794</c:v>
                </c:pt>
                <c:pt idx="62">
                  <c:v>0.1067513290196794</c:v>
                </c:pt>
                <c:pt idx="63">
                  <c:v>0.1067513290196794</c:v>
                </c:pt>
                <c:pt idx="64">
                  <c:v>0.1067513290196794</c:v>
                </c:pt>
                <c:pt idx="65">
                  <c:v>0.1067513290196794</c:v>
                </c:pt>
                <c:pt idx="66">
                  <c:v>0.1067513290196794</c:v>
                </c:pt>
                <c:pt idx="67">
                  <c:v>0.1067513290196794</c:v>
                </c:pt>
                <c:pt idx="68">
                  <c:v>0.1067513290196794</c:v>
                </c:pt>
                <c:pt idx="69">
                  <c:v>0.1067513290196794</c:v>
                </c:pt>
                <c:pt idx="70">
                  <c:v>0.1067513290196794</c:v>
                </c:pt>
                <c:pt idx="71">
                  <c:v>0.1067513290196794</c:v>
                </c:pt>
                <c:pt idx="72">
                  <c:v>0.1067513290196794</c:v>
                </c:pt>
                <c:pt idx="73">
                  <c:v>0.1067513290196794</c:v>
                </c:pt>
                <c:pt idx="74">
                  <c:v>0.1067513290196794</c:v>
                </c:pt>
                <c:pt idx="75">
                  <c:v>0.1067513290196794</c:v>
                </c:pt>
                <c:pt idx="76">
                  <c:v>0.1067513290196794</c:v>
                </c:pt>
                <c:pt idx="77">
                  <c:v>0.1067513290196794</c:v>
                </c:pt>
                <c:pt idx="78">
                  <c:v>0.1067513290196794</c:v>
                </c:pt>
                <c:pt idx="79">
                  <c:v>0.1067513290196794</c:v>
                </c:pt>
                <c:pt idx="80">
                  <c:v>0.1067513290196794</c:v>
                </c:pt>
                <c:pt idx="81">
                  <c:v>0.1067513290196794</c:v>
                </c:pt>
                <c:pt idx="82">
                  <c:v>0.1067513290196794</c:v>
                </c:pt>
                <c:pt idx="83">
                  <c:v>0.1067513290196794</c:v>
                </c:pt>
                <c:pt idx="84">
                  <c:v>0.1067513290196794</c:v>
                </c:pt>
                <c:pt idx="85">
                  <c:v>0.1067513290196794</c:v>
                </c:pt>
                <c:pt idx="86">
                  <c:v>0.1067513290196794</c:v>
                </c:pt>
                <c:pt idx="87">
                  <c:v>0.1067513290196794</c:v>
                </c:pt>
                <c:pt idx="88">
                  <c:v>0.1067513290196794</c:v>
                </c:pt>
                <c:pt idx="89">
                  <c:v>0.1067513290196794</c:v>
                </c:pt>
                <c:pt idx="90">
                  <c:v>0.1067513290196794</c:v>
                </c:pt>
                <c:pt idx="91">
                  <c:v>0.1067513290196794</c:v>
                </c:pt>
                <c:pt idx="92">
                  <c:v>0.1067513290196794</c:v>
                </c:pt>
                <c:pt idx="93">
                  <c:v>0.1067513290196794</c:v>
                </c:pt>
                <c:pt idx="94">
                  <c:v>0.1067513290196794</c:v>
                </c:pt>
                <c:pt idx="95">
                  <c:v>0.1067513290196794</c:v>
                </c:pt>
                <c:pt idx="96">
                  <c:v>0.1067513290196794</c:v>
                </c:pt>
                <c:pt idx="97">
                  <c:v>0.1067513290196794</c:v>
                </c:pt>
                <c:pt idx="98">
                  <c:v>0.1067513290196794</c:v>
                </c:pt>
                <c:pt idx="99">
                  <c:v>0.1067513290196794</c:v>
                </c:pt>
              </c:numCache>
            </c:numRef>
          </c:yVal>
          <c:smooth val="0"/>
        </c:ser>
        <c:ser>
          <c:idx val="2"/>
          <c:order val="2"/>
          <c:tx>
            <c:strRef>
              <c:f>'Задача2-П1+'!$C$32</c:f>
              <c:strCache>
                <c:ptCount val="1"/>
                <c:pt idx="0">
                  <c:v>Z2=Z+3*DZ</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'Задача2-П1+'!$K$37:$K$136</c:f>
              <c:numCache>
                <c:ptCount val="100"/>
                <c:pt idx="0">
                  <c:v>0.13596199824081392</c:v>
                </c:pt>
                <c:pt idx="1">
                  <c:v>0.13596199824081392</c:v>
                </c:pt>
                <c:pt idx="2">
                  <c:v>0.13596199824081392</c:v>
                </c:pt>
                <c:pt idx="3">
                  <c:v>0.13596199824081392</c:v>
                </c:pt>
                <c:pt idx="4">
                  <c:v>0.13596199824081392</c:v>
                </c:pt>
                <c:pt idx="5">
                  <c:v>0.13596199824081392</c:v>
                </c:pt>
                <c:pt idx="6">
                  <c:v>0.13596199824081392</c:v>
                </c:pt>
                <c:pt idx="7">
                  <c:v>0.13596199824081392</c:v>
                </c:pt>
                <c:pt idx="8">
                  <c:v>0.13596199824081392</c:v>
                </c:pt>
                <c:pt idx="9">
                  <c:v>0.13596199824081392</c:v>
                </c:pt>
                <c:pt idx="10">
                  <c:v>0.13596199824081392</c:v>
                </c:pt>
                <c:pt idx="11">
                  <c:v>0.13596199824081392</c:v>
                </c:pt>
                <c:pt idx="12">
                  <c:v>0.13596199824081392</c:v>
                </c:pt>
                <c:pt idx="13">
                  <c:v>0.13596199824081392</c:v>
                </c:pt>
                <c:pt idx="14">
                  <c:v>0.13596199824081392</c:v>
                </c:pt>
                <c:pt idx="15">
                  <c:v>0.13596199824081392</c:v>
                </c:pt>
                <c:pt idx="16">
                  <c:v>0.13596199824081392</c:v>
                </c:pt>
                <c:pt idx="17">
                  <c:v>0.13596199824081392</c:v>
                </c:pt>
                <c:pt idx="18">
                  <c:v>0.13596199824081392</c:v>
                </c:pt>
                <c:pt idx="19">
                  <c:v>0.13596199824081392</c:v>
                </c:pt>
                <c:pt idx="20">
                  <c:v>0.13596199824081392</c:v>
                </c:pt>
                <c:pt idx="21">
                  <c:v>0.13596199824081392</c:v>
                </c:pt>
                <c:pt idx="22">
                  <c:v>0.13596199824081392</c:v>
                </c:pt>
                <c:pt idx="23">
                  <c:v>0.13596199824081392</c:v>
                </c:pt>
                <c:pt idx="24">
                  <c:v>0.13596199824081392</c:v>
                </c:pt>
                <c:pt idx="25">
                  <c:v>0.13596199824081392</c:v>
                </c:pt>
                <c:pt idx="26">
                  <c:v>0.13596199824081392</c:v>
                </c:pt>
                <c:pt idx="27">
                  <c:v>0.13596199824081392</c:v>
                </c:pt>
                <c:pt idx="28">
                  <c:v>0.13596199824081392</c:v>
                </c:pt>
                <c:pt idx="29">
                  <c:v>0.13596199824081392</c:v>
                </c:pt>
                <c:pt idx="30">
                  <c:v>0.13596199824081392</c:v>
                </c:pt>
                <c:pt idx="31">
                  <c:v>0.13596199824081392</c:v>
                </c:pt>
                <c:pt idx="32">
                  <c:v>0.13596199824081392</c:v>
                </c:pt>
                <c:pt idx="33">
                  <c:v>0.13596199824081392</c:v>
                </c:pt>
                <c:pt idx="34">
                  <c:v>0.13596199824081392</c:v>
                </c:pt>
                <c:pt idx="35">
                  <c:v>0.13596199824081392</c:v>
                </c:pt>
                <c:pt idx="36">
                  <c:v>0.13596199824081392</c:v>
                </c:pt>
                <c:pt idx="37">
                  <c:v>0.13596199824081392</c:v>
                </c:pt>
                <c:pt idx="38">
                  <c:v>0.13596199824081392</c:v>
                </c:pt>
                <c:pt idx="39">
                  <c:v>0.13596199824081392</c:v>
                </c:pt>
                <c:pt idx="40">
                  <c:v>0.13596199824081392</c:v>
                </c:pt>
                <c:pt idx="41">
                  <c:v>0.13596199824081392</c:v>
                </c:pt>
                <c:pt idx="42">
                  <c:v>0.13596199824081392</c:v>
                </c:pt>
                <c:pt idx="43">
                  <c:v>0.13596199824081392</c:v>
                </c:pt>
                <c:pt idx="44">
                  <c:v>0.13596199824081392</c:v>
                </c:pt>
                <c:pt idx="45">
                  <c:v>0.13596199824081392</c:v>
                </c:pt>
                <c:pt idx="46">
                  <c:v>0.13596199824081392</c:v>
                </c:pt>
                <c:pt idx="47">
                  <c:v>0.13596199824081392</c:v>
                </c:pt>
                <c:pt idx="48">
                  <c:v>0.13596199824081392</c:v>
                </c:pt>
                <c:pt idx="49">
                  <c:v>0.13596199824081392</c:v>
                </c:pt>
                <c:pt idx="50">
                  <c:v>0.13596199824081392</c:v>
                </c:pt>
                <c:pt idx="51">
                  <c:v>0.13596199824081392</c:v>
                </c:pt>
                <c:pt idx="52">
                  <c:v>0.13596199824081392</c:v>
                </c:pt>
                <c:pt idx="53">
                  <c:v>0.13596199824081392</c:v>
                </c:pt>
                <c:pt idx="54">
                  <c:v>0.13596199824081392</c:v>
                </c:pt>
                <c:pt idx="55">
                  <c:v>0.13596199824081392</c:v>
                </c:pt>
                <c:pt idx="56">
                  <c:v>0.13596199824081392</c:v>
                </c:pt>
                <c:pt idx="57">
                  <c:v>0.13596199824081392</c:v>
                </c:pt>
                <c:pt idx="58">
                  <c:v>0.13596199824081392</c:v>
                </c:pt>
                <c:pt idx="59">
                  <c:v>0.13596199824081392</c:v>
                </c:pt>
                <c:pt idx="60">
                  <c:v>0.13596199824081392</c:v>
                </c:pt>
                <c:pt idx="61">
                  <c:v>0.13596199824081392</c:v>
                </c:pt>
                <c:pt idx="62">
                  <c:v>0.13596199824081392</c:v>
                </c:pt>
                <c:pt idx="63">
                  <c:v>0.13596199824081392</c:v>
                </c:pt>
                <c:pt idx="64">
                  <c:v>0.13596199824081392</c:v>
                </c:pt>
                <c:pt idx="65">
                  <c:v>0.13596199824081392</c:v>
                </c:pt>
                <c:pt idx="66">
                  <c:v>0.13596199824081392</c:v>
                </c:pt>
                <c:pt idx="67">
                  <c:v>0.13596199824081392</c:v>
                </c:pt>
                <c:pt idx="68">
                  <c:v>0.13596199824081392</c:v>
                </c:pt>
                <c:pt idx="69">
                  <c:v>0.13596199824081392</c:v>
                </c:pt>
                <c:pt idx="70">
                  <c:v>0.13596199824081392</c:v>
                </c:pt>
                <c:pt idx="71">
                  <c:v>0.13596199824081392</c:v>
                </c:pt>
                <c:pt idx="72">
                  <c:v>0.13596199824081392</c:v>
                </c:pt>
                <c:pt idx="73">
                  <c:v>0.13596199824081392</c:v>
                </c:pt>
                <c:pt idx="74">
                  <c:v>0.13596199824081392</c:v>
                </c:pt>
                <c:pt idx="75">
                  <c:v>0.13596199824081392</c:v>
                </c:pt>
                <c:pt idx="76">
                  <c:v>0.13596199824081392</c:v>
                </c:pt>
                <c:pt idx="77">
                  <c:v>0.13596199824081392</c:v>
                </c:pt>
                <c:pt idx="78">
                  <c:v>0.13596199824081392</c:v>
                </c:pt>
                <c:pt idx="79">
                  <c:v>0.13596199824081392</c:v>
                </c:pt>
                <c:pt idx="80">
                  <c:v>0.13596199824081392</c:v>
                </c:pt>
                <c:pt idx="81">
                  <c:v>0.13596199824081392</c:v>
                </c:pt>
                <c:pt idx="82">
                  <c:v>0.13596199824081392</c:v>
                </c:pt>
                <c:pt idx="83">
                  <c:v>0.13596199824081392</c:v>
                </c:pt>
                <c:pt idx="84">
                  <c:v>0.13596199824081392</c:v>
                </c:pt>
                <c:pt idx="85">
                  <c:v>0.13596199824081392</c:v>
                </c:pt>
                <c:pt idx="86">
                  <c:v>0.13596199824081392</c:v>
                </c:pt>
                <c:pt idx="87">
                  <c:v>0.13596199824081392</c:v>
                </c:pt>
                <c:pt idx="88">
                  <c:v>0.13596199824081392</c:v>
                </c:pt>
                <c:pt idx="89">
                  <c:v>0.13596199824081392</c:v>
                </c:pt>
                <c:pt idx="90">
                  <c:v>0.13596199824081392</c:v>
                </c:pt>
                <c:pt idx="91">
                  <c:v>0.13596199824081392</c:v>
                </c:pt>
                <c:pt idx="92">
                  <c:v>0.13596199824081392</c:v>
                </c:pt>
                <c:pt idx="93">
                  <c:v>0.13596199824081392</c:v>
                </c:pt>
                <c:pt idx="94">
                  <c:v>0.13596199824081392</c:v>
                </c:pt>
                <c:pt idx="95">
                  <c:v>0.13596199824081392</c:v>
                </c:pt>
                <c:pt idx="96">
                  <c:v>0.13596199824081392</c:v>
                </c:pt>
                <c:pt idx="97">
                  <c:v>0.13596199824081392</c:v>
                </c:pt>
                <c:pt idx="98">
                  <c:v>0.13596199824081392</c:v>
                </c:pt>
                <c:pt idx="99">
                  <c:v>0.13596199824081392</c:v>
                </c:pt>
              </c:numCache>
            </c:numRef>
          </c:yVal>
          <c:smooth val="0"/>
        </c:ser>
        <c:axId val="10804962"/>
        <c:axId val="30135795"/>
      </c:scatterChart>
      <c:valAx>
        <c:axId val="10804962"/>
        <c:scaling>
          <c:orientation val="minMax"/>
          <c:max val="101"/>
          <c:min val="1"/>
        </c:scaling>
        <c:axPos val="b"/>
        <c:delete val="0"/>
        <c:numFmt formatCode="General" sourceLinked="1"/>
        <c:majorTickMark val="out"/>
        <c:minorTickMark val="none"/>
        <c:tickLblPos val="nextTo"/>
        <c:crossAx val="30135795"/>
        <c:crosses val="autoZero"/>
        <c:crossBetween val="midCat"/>
        <c:dispUnits/>
        <c:majorUnit val="101"/>
      </c:valAx>
      <c:valAx>
        <c:axId val="30135795"/>
        <c:scaling>
          <c:orientation val="minMax"/>
          <c:max val="5"/>
          <c:min val="0"/>
        </c:scaling>
        <c:axPos val="l"/>
        <c:majorGridlines/>
        <c:delete val="0"/>
        <c:numFmt formatCode="General" sourceLinked="1"/>
        <c:majorTickMark val="out"/>
        <c:minorTickMark val="none"/>
        <c:tickLblPos val="nextTo"/>
        <c:crossAx val="10804962"/>
        <c:crosses val="autoZero"/>
        <c:crossBetween val="midCat"/>
        <c:dispUnits/>
        <c:majorUnit val="1"/>
        <c:minorUnit val="0.1"/>
      </c:valAx>
      <c:spPr>
        <a:solidFill>
          <a:srgbClr val="FFFFFF"/>
        </a:solidFill>
        <a:ln w="12700">
          <a:solidFill/>
        </a:ln>
      </c:spPr>
    </c:plotArea>
    <c:legend>
      <c:legendPos val="r"/>
      <c:layout>
        <c:manualLayout>
          <c:xMode val="edge"/>
          <c:yMode val="edge"/>
          <c:x val="0.7325"/>
          <c:y val="0.608"/>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'Задача2-П2-(КZ хорош)-'!$B$31</c:f>
              <c:strCache>
                <c:ptCount val="1"/>
                <c:pt idx="0">
                  <c:v>PB</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val>
            <c:numRef>
              <c:f>'Задача2-П2-(КZ хорош)-'!$B$32:$B$131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2.25</c:v>
                </c:pt>
                <c:pt idx="15">
                  <c:v>3.6</c:v>
                </c:pt>
                <c:pt idx="16">
                  <c:v>3.6</c:v>
                </c:pt>
                <c:pt idx="17">
                  <c:v>6.75</c:v>
                </c:pt>
                <c:pt idx="18">
                  <c:v>12.6</c:v>
                </c:pt>
                <c:pt idx="19">
                  <c:v>13.5</c:v>
                </c:pt>
                <c:pt idx="20">
                  <c:v>16.2</c:v>
                </c:pt>
                <c:pt idx="21">
                  <c:v>22.950000000000003</c:v>
                </c:pt>
                <c:pt idx="22">
                  <c:v>25.2</c:v>
                </c:pt>
                <c:pt idx="23">
                  <c:v>26.1</c:v>
                </c:pt>
                <c:pt idx="24">
                  <c:v>27</c:v>
                </c:pt>
                <c:pt idx="25">
                  <c:v>36</c:v>
                </c:pt>
                <c:pt idx="26">
                  <c:v>36</c:v>
                </c:pt>
                <c:pt idx="27">
                  <c:v>36</c:v>
                </c:pt>
                <c:pt idx="28">
                  <c:v>36.449999999999996</c:v>
                </c:pt>
                <c:pt idx="29">
                  <c:v>36.45</c:v>
                </c:pt>
                <c:pt idx="30">
                  <c:v>43.2</c:v>
                </c:pt>
                <c:pt idx="31">
                  <c:v>43.2</c:v>
                </c:pt>
                <c:pt idx="32">
                  <c:v>46.800000000000004</c:v>
                </c:pt>
                <c:pt idx="33">
                  <c:v>47.25000000000001</c:v>
                </c:pt>
                <c:pt idx="34">
                  <c:v>51.75</c:v>
                </c:pt>
                <c:pt idx="35">
                  <c:v>52.650000000000006</c:v>
                </c:pt>
                <c:pt idx="36">
                  <c:v>54</c:v>
                </c:pt>
                <c:pt idx="37">
                  <c:v>56.699999999999996</c:v>
                </c:pt>
                <c:pt idx="38">
                  <c:v>66.15</c:v>
                </c:pt>
                <c:pt idx="39">
                  <c:v>66.60000000000001</c:v>
                </c:pt>
                <c:pt idx="40">
                  <c:v>70.2</c:v>
                </c:pt>
                <c:pt idx="41">
                  <c:v>72</c:v>
                </c:pt>
                <c:pt idx="42">
                  <c:v>74.7</c:v>
                </c:pt>
                <c:pt idx="43">
                  <c:v>75.60000000000001</c:v>
                </c:pt>
                <c:pt idx="44">
                  <c:v>82.35</c:v>
                </c:pt>
                <c:pt idx="45">
                  <c:v>82.8</c:v>
                </c:pt>
                <c:pt idx="46">
                  <c:v>85.5</c:v>
                </c:pt>
                <c:pt idx="47">
                  <c:v>91.35000000000001</c:v>
                </c:pt>
                <c:pt idx="48">
                  <c:v>95.85</c:v>
                </c:pt>
                <c:pt idx="49">
                  <c:v>99</c:v>
                </c:pt>
                <c:pt idx="50">
                  <c:v>101.25</c:v>
                </c:pt>
                <c:pt idx="51">
                  <c:v>112.5</c:v>
                </c:pt>
                <c:pt idx="52">
                  <c:v>115.2</c:v>
                </c:pt>
                <c:pt idx="53">
                  <c:v>115.2</c:v>
                </c:pt>
                <c:pt idx="54">
                  <c:v>116.10000000000001</c:v>
                </c:pt>
                <c:pt idx="55">
                  <c:v>122.4</c:v>
                </c:pt>
                <c:pt idx="56">
                  <c:v>122.4</c:v>
                </c:pt>
                <c:pt idx="57">
                  <c:v>125.55000000000001</c:v>
                </c:pt>
                <c:pt idx="58">
                  <c:v>125.55000000000001</c:v>
                </c:pt>
                <c:pt idx="59">
                  <c:v>126</c:v>
                </c:pt>
                <c:pt idx="60">
                  <c:v>126</c:v>
                </c:pt>
                <c:pt idx="61">
                  <c:v>129.60000000000002</c:v>
                </c:pt>
                <c:pt idx="62">
                  <c:v>141.75</c:v>
                </c:pt>
                <c:pt idx="63">
                  <c:v>150.75</c:v>
                </c:pt>
                <c:pt idx="64">
                  <c:v>154.8</c:v>
                </c:pt>
                <c:pt idx="65">
                  <c:v>160.65</c:v>
                </c:pt>
                <c:pt idx="66">
                  <c:v>162</c:v>
                </c:pt>
                <c:pt idx="67">
                  <c:v>171</c:v>
                </c:pt>
                <c:pt idx="68">
                  <c:v>175.5</c:v>
                </c:pt>
                <c:pt idx="69">
                  <c:v>184.5</c:v>
                </c:pt>
                <c:pt idx="70">
                  <c:v>194.4</c:v>
                </c:pt>
                <c:pt idx="71">
                  <c:v>195.3</c:v>
                </c:pt>
                <c:pt idx="72">
                  <c:v>198</c:v>
                </c:pt>
                <c:pt idx="73">
                  <c:v>200.25000000000003</c:v>
                </c:pt>
                <c:pt idx="74">
                  <c:v>211.50000000000003</c:v>
                </c:pt>
                <c:pt idx="75">
                  <c:v>212.4</c:v>
                </c:pt>
                <c:pt idx="76">
                  <c:v>214.65</c:v>
                </c:pt>
                <c:pt idx="77">
                  <c:v>225</c:v>
                </c:pt>
                <c:pt idx="78">
                  <c:v>226.79999999999998</c:v>
                </c:pt>
                <c:pt idx="79">
                  <c:v>230.85000000000002</c:v>
                </c:pt>
                <c:pt idx="80">
                  <c:v>234.89999999999998</c:v>
                </c:pt>
                <c:pt idx="81">
                  <c:v>248.39999999999998</c:v>
                </c:pt>
                <c:pt idx="82">
                  <c:v>264.6</c:v>
                </c:pt>
                <c:pt idx="83">
                  <c:v>270</c:v>
                </c:pt>
                <c:pt idx="84">
                  <c:v>273.6</c:v>
                </c:pt>
                <c:pt idx="85">
                  <c:v>283.5</c:v>
                </c:pt>
                <c:pt idx="86">
                  <c:v>297</c:v>
                </c:pt>
                <c:pt idx="87">
                  <c:v>299.25</c:v>
                </c:pt>
                <c:pt idx="88">
                  <c:v>303.75</c:v>
                </c:pt>
                <c:pt idx="89">
                  <c:v>310.5</c:v>
                </c:pt>
                <c:pt idx="90">
                  <c:v>315.90000000000003</c:v>
                </c:pt>
                <c:pt idx="91">
                  <c:v>319.95000000000005</c:v>
                </c:pt>
                <c:pt idx="92">
                  <c:v>324</c:v>
                </c:pt>
                <c:pt idx="93">
                  <c:v>332.09999999999997</c:v>
                </c:pt>
                <c:pt idx="94">
                  <c:v>382.5</c:v>
                </c:pt>
                <c:pt idx="95">
                  <c:v>392.84999999999997</c:v>
                </c:pt>
                <c:pt idx="96">
                  <c:v>396</c:v>
                </c:pt>
                <c:pt idx="97">
                  <c:v>405</c:v>
                </c:pt>
                <c:pt idx="98">
                  <c:v>409.5</c:v>
                </c:pt>
                <c:pt idx="99">
                  <c:v>423.00000000000006</c:v>
                </c:pt>
              </c:numCache>
            </c:numRef>
          </c:val>
        </c:ser>
        <c:gapWidth val="100"/>
        <c:axId val="2786700"/>
        <c:axId val="25080301"/>
      </c:barChart>
      <c:catAx>
        <c:axId val="2786700"/>
        <c:scaling>
          <c:orientation val="minMax"/>
        </c:scaling>
        <c:axPos val="b"/>
        <c:delete val="1"/>
        <c:majorTickMark val="out"/>
        <c:minorTickMark val="none"/>
        <c:tickLblPos val="nextTo"/>
        <c:crossAx val="25080301"/>
        <c:crosses val="autoZero"/>
        <c:auto val="1"/>
        <c:lblOffset val="100"/>
        <c:tickLblSkip val="1000"/>
        <c:tickMarkSkip val="1000"/>
        <c:noMultiLvlLbl val="0"/>
      </c:catAx>
      <c:valAx>
        <c:axId val="25080301"/>
        <c:scaling>
          <c:orientation val="minMax"/>
        </c:scaling>
        <c:axPos val="l"/>
        <c:majorGridlines/>
        <c:delete val="0"/>
        <c:numFmt formatCode="General" sourceLinked="1"/>
        <c:majorTickMark val="out"/>
        <c:minorTickMark val="none"/>
        <c:tickLblPos val="nextTo"/>
        <c:crossAx val="2786700"/>
        <c:crossesAt val="1"/>
        <c:crossBetween val="between"/>
        <c:dispUnits/>
      </c:valAx>
      <c:spPr>
        <a:solidFill>
          <a:srgbClr val="FFFFFF"/>
        </a:solidFill>
        <a:ln w="12700">
          <a:solidFill/>
        </a:ln>
      </c:spPr>
    </c:plotArea>
    <c:legend>
      <c:legendPos val="r"/>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85"/>
          <c:w val="0.88925"/>
          <c:h val="0.963"/>
        </c:manualLayout>
      </c:layout>
      <c:barChart>
        <c:barDir val="col"/>
        <c:grouping val="stacked"/>
        <c:varyColors val="0"/>
        <c:ser>
          <c:idx val="0"/>
          <c:order val="0"/>
          <c:tx>
            <c:strRef>
              <c:f>'Задача2-П2-(КZ хорош)-'!$G$31</c:f>
              <c:strCache>
                <c:ptCount val="1"/>
                <c:pt idx="0">
                  <c:v>PSN</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9999FF"/>
                  </a:solidFill>
                </c14:spPr>
              </c14:invertSolidFillFmt>
            </c:ext>
          </c:extLst>
          <c:dPt>
            <c:idx val="53"/>
            <c:invertIfNegative val="0"/>
            <c:spPr>
              <a:solidFill>
                <a:srgbClr val="339966"/>
              </a:solidFill>
              <a:ln w="3175">
                <a:noFill/>
              </a:ln>
            </c:spPr>
          </c:dPt>
          <c:dPt>
            <c:idx val="59"/>
            <c:invertIfNegative val="0"/>
            <c:spPr>
              <a:solidFill>
                <a:srgbClr val="339966"/>
              </a:solidFill>
              <a:ln w="3175">
                <a:noFill/>
              </a:ln>
            </c:spPr>
          </c:dPt>
          <c:dPt>
            <c:idx val="92"/>
            <c:invertIfNegative val="0"/>
            <c:spPr>
              <a:solidFill>
                <a:srgbClr val="339966"/>
              </a:solidFill>
              <a:ln w="3175">
                <a:noFill/>
              </a:ln>
            </c:spPr>
          </c:dPt>
          <c:val>
            <c:numRef>
              <c:f>'Задача2-П2-(КZ хорош)-'!$G$32:$G$131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0.6867908305332435</c:v>
                </c:pt>
                <c:pt idx="15">
                  <c:v>1.0988653288531898</c:v>
                </c:pt>
                <c:pt idx="16">
                  <c:v>1.0988653288531898</c:v>
                </c:pt>
                <c:pt idx="17">
                  <c:v>2.060372491599731</c:v>
                </c:pt>
                <c:pt idx="18">
                  <c:v>3.846028650986164</c:v>
                </c:pt>
                <c:pt idx="19">
                  <c:v>4.120744983199462</c:v>
                </c:pt>
                <c:pt idx="20">
                  <c:v>4.944893979839353</c:v>
                </c:pt>
                <c:pt idx="21">
                  <c:v>7.005266471439086</c:v>
                </c:pt>
                <c:pt idx="22">
                  <c:v>7.692057301972328</c:v>
                </c:pt>
                <c:pt idx="23">
                  <c:v>7.966773634185626</c:v>
                </c:pt>
                <c:pt idx="24">
                  <c:v>8.241489966398923</c:v>
                </c:pt>
                <c:pt idx="25">
                  <c:v>10.988653288531896</c:v>
                </c:pt>
                <c:pt idx="26">
                  <c:v>10.988653288531896</c:v>
                </c:pt>
                <c:pt idx="27">
                  <c:v>10.988653288531896</c:v>
                </c:pt>
                <c:pt idx="28">
                  <c:v>11.126011454638544</c:v>
                </c:pt>
                <c:pt idx="29">
                  <c:v>11.126011454638547</c:v>
                </c:pt>
                <c:pt idx="30">
                  <c:v>13.186383946238278</c:v>
                </c:pt>
                <c:pt idx="31">
                  <c:v>13.186383946238278</c:v>
                </c:pt>
                <c:pt idx="32">
                  <c:v>14.285249275091468</c:v>
                </c:pt>
                <c:pt idx="33">
                  <c:v>14.422607441198117</c:v>
                </c:pt>
                <c:pt idx="34">
                  <c:v>15.796189102264602</c:v>
                </c:pt>
                <c:pt idx="35">
                  <c:v>16.0709054344779</c:v>
                </c:pt>
                <c:pt idx="36">
                  <c:v>16.482979932797846</c:v>
                </c:pt>
                <c:pt idx="37">
                  <c:v>17.307128929437738</c:v>
                </c:pt>
                <c:pt idx="38">
                  <c:v>20.191650417677362</c:v>
                </c:pt>
                <c:pt idx="39">
                  <c:v>20.329008583784013</c:v>
                </c:pt>
                <c:pt idx="40">
                  <c:v>21.4278739126372</c:v>
                </c:pt>
                <c:pt idx="41">
                  <c:v>21.977306577063793</c:v>
                </c:pt>
                <c:pt idx="42">
                  <c:v>22.801455573703688</c:v>
                </c:pt>
                <c:pt idx="43">
                  <c:v>23.076171905916986</c:v>
                </c:pt>
                <c:pt idx="44">
                  <c:v>25.13654439751671</c:v>
                </c:pt>
                <c:pt idx="45">
                  <c:v>25.273902563623363</c:v>
                </c:pt>
                <c:pt idx="46">
                  <c:v>26.098051560263254</c:v>
                </c:pt>
                <c:pt idx="47">
                  <c:v>27.883707719649692</c:v>
                </c:pt>
                <c:pt idx="48">
                  <c:v>29.257289380716173</c:v>
                </c:pt>
                <c:pt idx="49">
                  <c:v>30.218796543462716</c:v>
                </c:pt>
                <c:pt idx="50">
                  <c:v>30.90558737399596</c:v>
                </c:pt>
                <c:pt idx="51">
                  <c:v>34.33954152666218</c:v>
                </c:pt>
                <c:pt idx="52">
                  <c:v>35.16369052330207</c:v>
                </c:pt>
                <c:pt idx="53">
                  <c:v>40.36643995203244</c:v>
                </c:pt>
                <c:pt idx="54">
                  <c:v>35.438406855515375</c:v>
                </c:pt>
                <c:pt idx="55">
                  <c:v>37.36142118100845</c:v>
                </c:pt>
                <c:pt idx="56">
                  <c:v>37.36142118100845</c:v>
                </c:pt>
                <c:pt idx="57">
                  <c:v>38.322928343754995</c:v>
                </c:pt>
                <c:pt idx="58">
                  <c:v>38.322928343754995</c:v>
                </c:pt>
                <c:pt idx="59">
                  <c:v>34.33609551921498</c:v>
                </c:pt>
                <c:pt idx="60">
                  <c:v>38.46028650986164</c:v>
                </c:pt>
                <c:pt idx="61">
                  <c:v>39.55915183871484</c:v>
                </c:pt>
                <c:pt idx="62">
                  <c:v>43.267822323594345</c:v>
                </c:pt>
                <c:pt idx="63">
                  <c:v>46.01498564572732</c:v>
                </c:pt>
                <c:pt idx="64">
                  <c:v>47.25120914068716</c:v>
                </c:pt>
                <c:pt idx="65">
                  <c:v>49.03686530007359</c:v>
                </c:pt>
                <c:pt idx="66">
                  <c:v>49.44893979839354</c:v>
                </c:pt>
                <c:pt idx="67">
                  <c:v>52.19610312052651</c:v>
                </c:pt>
                <c:pt idx="68">
                  <c:v>53.569684781593</c:v>
                </c:pt>
                <c:pt idx="69">
                  <c:v>56.316848103725974</c:v>
                </c:pt>
                <c:pt idx="70">
                  <c:v>59.338727758072245</c:v>
                </c:pt>
                <c:pt idx="71">
                  <c:v>59.61344409028555</c:v>
                </c:pt>
                <c:pt idx="72">
                  <c:v>60.43759308692543</c:v>
                </c:pt>
                <c:pt idx="73">
                  <c:v>61.12438391745869</c:v>
                </c:pt>
                <c:pt idx="74">
                  <c:v>64.2962858552738</c:v>
                </c:pt>
                <c:pt idx="75">
                  <c:v>64.83305440233819</c:v>
                </c:pt>
                <c:pt idx="76">
                  <c:v>67.31424001838369</c:v>
                </c:pt>
                <c:pt idx="77">
                  <c:v>68.67908305332436</c:v>
                </c:pt>
                <c:pt idx="78">
                  <c:v>69.22851571775095</c:v>
                </c:pt>
                <c:pt idx="79">
                  <c:v>70.4647392127108</c:v>
                </c:pt>
                <c:pt idx="80">
                  <c:v>71.70096270767063</c:v>
                </c:pt>
                <c:pt idx="81">
                  <c:v>75.82170769087008</c:v>
                </c:pt>
                <c:pt idx="82">
                  <c:v>80.76660167070945</c:v>
                </c:pt>
                <c:pt idx="83">
                  <c:v>82.41489966398923</c:v>
                </c:pt>
                <c:pt idx="84">
                  <c:v>83.51376499284243</c:v>
                </c:pt>
                <c:pt idx="85">
                  <c:v>86.53564464718869</c:v>
                </c:pt>
                <c:pt idx="86">
                  <c:v>90.33371687058582</c:v>
                </c:pt>
                <c:pt idx="87">
                  <c:v>91.3431804609214</c:v>
                </c:pt>
                <c:pt idx="88">
                  <c:v>92.71676212198788</c:v>
                </c:pt>
                <c:pt idx="89">
                  <c:v>94.77713461358762</c:v>
                </c:pt>
                <c:pt idx="90">
                  <c:v>111.29989530957548</c:v>
                </c:pt>
                <c:pt idx="91">
                  <c:v>97.66165610182725</c:v>
                </c:pt>
                <c:pt idx="92">
                  <c:v>87.62865234418796</c:v>
                </c:pt>
                <c:pt idx="93">
                  <c:v>101.37032658670674</c:v>
                </c:pt>
                <c:pt idx="94">
                  <c:v>116.7544411906514</c:v>
                </c:pt>
                <c:pt idx="95">
                  <c:v>116.17946803323542</c:v>
                </c:pt>
                <c:pt idx="96">
                  <c:v>120.87518617385086</c:v>
                </c:pt>
                <c:pt idx="97">
                  <c:v>123.62234949598384</c:v>
                </c:pt>
                <c:pt idx="98">
                  <c:v>116.28822632745184</c:v>
                </c:pt>
                <c:pt idx="99">
                  <c:v>129.1166761402498</c:v>
                </c:pt>
              </c:numCache>
            </c:numRef>
          </c:val>
        </c:ser>
        <c:ser>
          <c:idx val="1"/>
          <c:order val="1"/>
          <c:tx>
            <c:strRef>
              <c:f>'Задача2-П2-(КZ хорош)-'!$H$31</c:f>
              <c:strCache>
                <c:ptCount val="1"/>
                <c:pt idx="0">
                  <c:v>PSR</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val>
            <c:numRef>
              <c:f>'Задача2-П2-(КZ хорош)-'!$H$32:$H$131</c:f>
              <c:numCache>
                <c:ptCount val="100"/>
                <c:pt idx="0">
                  <c:v>1030.4</c:v>
                </c:pt>
                <c:pt idx="1">
                  <c:v>563.2</c:v>
                </c:pt>
                <c:pt idx="2">
                  <c:v>1044</c:v>
                </c:pt>
                <c:pt idx="3">
                  <c:v>549.6</c:v>
                </c:pt>
                <c:pt idx="4">
                  <c:v>1057.6000000000001</c:v>
                </c:pt>
                <c:pt idx="5">
                  <c:v>680</c:v>
                </c:pt>
                <c:pt idx="6">
                  <c:v>1142.4</c:v>
                </c:pt>
                <c:pt idx="7">
                  <c:v>1400.8000000000002</c:v>
                </c:pt>
                <c:pt idx="8">
                  <c:v>438.40000000000003</c:v>
                </c:pt>
                <c:pt idx="9">
                  <c:v>1533.6000000000001</c:v>
                </c:pt>
                <c:pt idx="10">
                  <c:v>1110.4</c:v>
                </c:pt>
                <c:pt idx="11">
                  <c:v>388.8</c:v>
                </c:pt>
                <c:pt idx="12">
                  <c:v>1538.4</c:v>
                </c:pt>
                <c:pt idx="13">
                  <c:v>301.6</c:v>
                </c:pt>
                <c:pt idx="14">
                  <c:v>1023.2804063353649</c:v>
                </c:pt>
                <c:pt idx="15">
                  <c:v>274.55795115953555</c:v>
                </c:pt>
                <c:pt idx="16">
                  <c:v>464.1925374336881</c:v>
                </c:pt>
                <c:pt idx="17">
                  <c:v>1233.982898845923</c:v>
                </c:pt>
                <c:pt idx="18">
                  <c:v>468.4336859761083</c:v>
                </c:pt>
                <c:pt idx="19">
                  <c:v>8.147869429857524</c:v>
                </c:pt>
                <c:pt idx="20">
                  <c:v>924.2150879290673</c:v>
                </c:pt>
                <c:pt idx="21">
                  <c:v>803.0550448359246</c:v>
                </c:pt>
                <c:pt idx="22">
                  <c:v>1229.9426701725536</c:v>
                </c:pt>
                <c:pt idx="23">
                  <c:v>667.8069034996153</c:v>
                </c:pt>
                <c:pt idx="24">
                  <c:v>1597.3332038194367</c:v>
                </c:pt>
                <c:pt idx="25">
                  <c:v>275.301175512426</c:v>
                </c:pt>
                <c:pt idx="26">
                  <c:v>907.1952701946116</c:v>
                </c:pt>
                <c:pt idx="27">
                  <c:v>934.1577477265192</c:v>
                </c:pt>
                <c:pt idx="28">
                  <c:v>6.6245947998089</c:v>
                </c:pt>
                <c:pt idx="29">
                  <c:v>361.0051768562028</c:v>
                </c:pt>
                <c:pt idx="30">
                  <c:v>1563.2000220468476</c:v>
                </c:pt>
                <c:pt idx="31">
                  <c:v>1323.6870978251195</c:v>
                </c:pt>
                <c:pt idx="32">
                  <c:v>453.6876512818079</c:v>
                </c:pt>
                <c:pt idx="33">
                  <c:v>191.26123002930134</c:v>
                </c:pt>
                <c:pt idx="34">
                  <c:v>574.5687821878076</c:v>
                </c:pt>
                <c:pt idx="35">
                  <c:v>788.254353816065</c:v>
                </c:pt>
                <c:pt idx="36">
                  <c:v>70.29088527142028</c:v>
                </c:pt>
                <c:pt idx="37">
                  <c:v>1467.9911538435279</c:v>
                </c:pt>
                <c:pt idx="38">
                  <c:v>1235.313461024718</c:v>
                </c:pt>
                <c:pt idx="39">
                  <c:v>1142.9817025025536</c:v>
                </c:pt>
                <c:pt idx="40">
                  <c:v>1125.043918474203</c:v>
                </c:pt>
                <c:pt idx="41">
                  <c:v>123.21520876695004</c:v>
                </c:pt>
                <c:pt idx="42">
                  <c:v>775.8069634555983</c:v>
                </c:pt>
                <c:pt idx="43">
                  <c:v>687.5531446113924</c:v>
                </c:pt>
                <c:pt idx="44">
                  <c:v>806.6802797992605</c:v>
                </c:pt>
                <c:pt idx="45">
                  <c:v>267.5582664586152</c:v>
                </c:pt>
                <c:pt idx="46">
                  <c:v>1520.7596886108788</c:v>
                </c:pt>
                <c:pt idx="47">
                  <c:v>363.56553764160776</c:v>
                </c:pt>
                <c:pt idx="48">
                  <c:v>351.8857412410157</c:v>
                </c:pt>
                <c:pt idx="49">
                  <c:v>28.636049902167287</c:v>
                </c:pt>
                <c:pt idx="50">
                  <c:v>1013.3328904490936</c:v>
                </c:pt>
                <c:pt idx="51">
                  <c:v>1581.273709847018</c:v>
                </c:pt>
                <c:pt idx="52">
                  <c:v>1315.307231918183</c:v>
                </c:pt>
                <c:pt idx="53">
                  <c:v>0</c:v>
                </c:pt>
                <c:pt idx="54">
                  <c:v>1395.2373074301831</c:v>
                </c:pt>
                <c:pt idx="55">
                  <c:v>28.585745312722466</c:v>
                </c:pt>
                <c:pt idx="56">
                  <c:v>1320.4258170450275</c:v>
                </c:pt>
                <c:pt idx="57">
                  <c:v>1579.321840491808</c:v>
                </c:pt>
                <c:pt idx="58">
                  <c:v>1235.9222529158721</c:v>
                </c:pt>
                <c:pt idx="59">
                  <c:v>0</c:v>
                </c:pt>
                <c:pt idx="60">
                  <c:v>122.24582447658611</c:v>
                </c:pt>
                <c:pt idx="61">
                  <c:v>462.7969516683795</c:v>
                </c:pt>
                <c:pt idx="62">
                  <c:v>187.46879046827613</c:v>
                </c:pt>
                <c:pt idx="63">
                  <c:v>571.4886579346093</c:v>
                </c:pt>
                <c:pt idx="64">
                  <c:v>0</c:v>
                </c:pt>
                <c:pt idx="65">
                  <c:v>1220.0398127518351</c:v>
                </c:pt>
                <c:pt idx="66">
                  <c:v>260.4103553420013</c:v>
                </c:pt>
                <c:pt idx="67">
                  <c:v>1460.5253801145902</c:v>
                </c:pt>
                <c:pt idx="68">
                  <c:v>186.76332720846858</c:v>
                </c:pt>
                <c:pt idx="69">
                  <c:v>62.851246008937764</c:v>
                </c:pt>
                <c:pt idx="70">
                  <c:v>264.6818413103173</c:v>
                </c:pt>
                <c:pt idx="71">
                  <c:v>1454.7351171030434</c:v>
                </c:pt>
                <c:pt idx="72">
                  <c:v>1550.7030046535792</c:v>
                </c:pt>
                <c:pt idx="73">
                  <c:v>1003.6030839042145</c:v>
                </c:pt>
                <c:pt idx="74">
                  <c:v>0</c:v>
                </c:pt>
                <c:pt idx="75">
                  <c:v>66.37212392362416</c:v>
                </c:pt>
                <c:pt idx="76">
                  <c:v>0</c:v>
                </c:pt>
                <c:pt idx="77">
                  <c:v>1578.2367958966695</c:v>
                </c:pt>
                <c:pt idx="78">
                  <c:v>1543.8089522094517</c:v>
                </c:pt>
                <c:pt idx="79">
                  <c:v>1388.2218968371644</c:v>
                </c:pt>
                <c:pt idx="80">
                  <c:v>1384.7096361133797</c:v>
                </c:pt>
                <c:pt idx="81">
                  <c:v>456.559967706022</c:v>
                </c:pt>
                <c:pt idx="82">
                  <c:v>118.01765737225772</c:v>
                </c:pt>
                <c:pt idx="83">
                  <c:v>110.90923621229895</c:v>
                </c:pt>
                <c:pt idx="84">
                  <c:v>1304.7366809417986</c:v>
                </c:pt>
                <c:pt idx="85">
                  <c:v>1505.5977962771128</c:v>
                </c:pt>
                <c:pt idx="86">
                  <c:v>0</c:v>
                </c:pt>
                <c:pt idx="87">
                  <c:v>1209.8127477152527</c:v>
                </c:pt>
                <c:pt idx="88">
                  <c:v>1561.2485972673385</c:v>
                </c:pt>
                <c:pt idx="89">
                  <c:v>1563.4659832248508</c:v>
                </c:pt>
                <c:pt idx="90">
                  <c:v>0</c:v>
                </c:pt>
                <c:pt idx="91">
                  <c:v>175.67508209581672</c:v>
                </c:pt>
                <c:pt idx="92">
                  <c:v>0</c:v>
                </c:pt>
                <c:pt idx="93">
                  <c:v>1448.4164668508165</c:v>
                </c:pt>
                <c:pt idx="94">
                  <c:v>51.76368785370845</c:v>
                </c:pt>
                <c:pt idx="95">
                  <c:v>0</c:v>
                </c:pt>
                <c:pt idx="96">
                  <c:v>1534.2469411720529</c:v>
                </c:pt>
                <c:pt idx="97">
                  <c:v>1525.768280346082</c:v>
                </c:pt>
                <c:pt idx="98">
                  <c:v>0</c:v>
                </c:pt>
                <c:pt idx="99">
                  <c:v>1559.154333077412</c:v>
                </c:pt>
              </c:numCache>
            </c:numRef>
          </c:val>
        </c:ser>
        <c:overlap val="100"/>
        <c:gapWidth val="100"/>
        <c:axId val="24396118"/>
        <c:axId val="18238471"/>
      </c:barChart>
      <c:catAx>
        <c:axId val="24396118"/>
        <c:scaling>
          <c:orientation val="minMax"/>
        </c:scaling>
        <c:axPos val="b"/>
        <c:delete val="1"/>
        <c:majorTickMark val="out"/>
        <c:minorTickMark val="none"/>
        <c:tickLblPos val="nextTo"/>
        <c:crossAx val="18238471"/>
        <c:crosses val="autoZero"/>
        <c:auto val="1"/>
        <c:lblOffset val="100"/>
        <c:tickLblSkip val="1000"/>
        <c:tickMarkSkip val="1000"/>
        <c:noMultiLvlLbl val="0"/>
      </c:catAx>
      <c:valAx>
        <c:axId val="18238471"/>
        <c:scaling>
          <c:orientation val="minMax"/>
        </c:scaling>
        <c:axPos val="l"/>
        <c:majorGridlines/>
        <c:delete val="0"/>
        <c:numFmt formatCode="0" sourceLinked="0"/>
        <c:majorTickMark val="out"/>
        <c:minorTickMark val="none"/>
        <c:tickLblPos val="nextTo"/>
        <c:crossAx val="24396118"/>
        <c:crossesAt val="1"/>
        <c:crossBetween val="between"/>
        <c:dispUnits/>
      </c:valAx>
      <c:spPr>
        <a:solidFill>
          <a:srgbClr val="FFFFFF"/>
        </a:solidFill>
        <a:ln w="12700">
          <a:solidFill>
            <a:srgbClr val="808080"/>
          </a:solidFill>
        </a:ln>
      </c:spPr>
    </c:plotArea>
    <c:legend>
      <c:legendPos val="r"/>
      <c:layout>
        <c:manualLayout>
          <c:xMode val="edge"/>
          <c:yMode val="edge"/>
          <c:x val="0.5755"/>
          <c:y val="0.01525"/>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875"/>
          <c:w val="0.91875"/>
          <c:h val="0.96225"/>
        </c:manualLayout>
      </c:layout>
      <c:scatterChart>
        <c:scatterStyle val="lineMarker"/>
        <c:varyColors val="0"/>
        <c:ser>
          <c:idx val="0"/>
          <c:order val="0"/>
          <c:tx>
            <c:strRef>
              <c:f>'Задача2-П2-(КZ хорош)-'!$E$31</c:f>
              <c:strCache>
                <c:ptCount val="1"/>
                <c:pt idx="0">
                  <c:v>Z=PS/PB</c:v>
                </c:pt>
              </c:strCache>
            </c:strRef>
          </c:tx>
          <c:spPr>
            <a:ln w="3175">
              <a:noFill/>
            </a:ln>
          </c:spPr>
          <c:extLst>
            <c:ext xmlns:c14="http://schemas.microsoft.com/office/drawing/2007/8/2/chart" uri="{6F2FDCE9-48DA-4B69-8628-5D25D57E5C99}">
              <c14:invertSolidFillFmt>
                <c14:spPr>
                  <a:solidFill>
                    <a:srgbClr val="9999FF"/>
                  </a:solidFill>
                </c14:spPr>
              </c14:invertSolidFillFmt>
            </c:ext>
          </c:extLst>
          <c:marker>
            <c:symbol val="dot"/>
            <c:size val="5"/>
            <c:spPr>
              <a:solidFill>
                <a:srgbClr val="000080"/>
              </a:solidFill>
              <a:ln>
                <a:solidFill>
                  <a:srgbClr val="000080"/>
                </a:solidFill>
              </a:ln>
            </c:spPr>
          </c:marker>
          <c:yVal>
            <c:numRef>
              <c:f>'Задача2-П2-(КZ хорош)-'!$E$32:$E$131</c:f>
              <c:numCach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455.09653207373253</c:v>
                </c:pt>
                <c:pt idx="15">
                  <c:v>76.57133791344133</c:v>
                </c:pt>
                <c:pt idx="16">
                  <c:v>129.2476118784837</c:v>
                </c:pt>
                <c:pt idx="17">
                  <c:v>183.117521679633</c:v>
                </c:pt>
                <c:pt idx="18">
                  <c:v>37.482517033896386</c:v>
                </c:pt>
                <c:pt idx="19">
                  <c:v>0.9087862528190359</c:v>
                </c:pt>
                <c:pt idx="20">
                  <c:v>57.3555544388214</c:v>
                </c:pt>
                <c:pt idx="21">
                  <c:v>35.296745590734794</c:v>
                </c:pt>
                <c:pt idx="22">
                  <c:v>49.112489185497054</c:v>
                </c:pt>
                <c:pt idx="23">
                  <c:v>25.891711767578578</c:v>
                </c:pt>
                <c:pt idx="24">
                  <c:v>59.465729399475386</c:v>
                </c:pt>
                <c:pt idx="25">
                  <c:v>7.952495244471054</c:v>
                </c:pt>
                <c:pt idx="26">
                  <c:v>25.505108985642874</c:v>
                </c:pt>
                <c:pt idx="27">
                  <c:v>26.25406669486253</c:v>
                </c:pt>
                <c:pt idx="28">
                  <c:v>0.4869850824265417</c:v>
                </c:pt>
                <c:pt idx="29">
                  <c:v>10.20936044748536</c:v>
                </c:pt>
                <c:pt idx="30">
                  <c:v>36.49042606465476</c:v>
                </c:pt>
                <c:pt idx="31">
                  <c:v>30.94614541137402</c:v>
                </c:pt>
                <c:pt idx="32">
                  <c:v>9.9994209520705</c:v>
                </c:pt>
                <c:pt idx="33">
                  <c:v>4.353097089322739</c:v>
                </c:pt>
                <c:pt idx="34">
                  <c:v>11.408018768890285</c:v>
                </c:pt>
                <c:pt idx="35">
                  <c:v>15.276833034198344</c:v>
                </c:pt>
                <c:pt idx="36">
                  <c:v>1.606923429707743</c:v>
                </c:pt>
                <c:pt idx="37">
                  <c:v>26.195736909576116</c:v>
                </c:pt>
                <c:pt idx="38">
                  <c:v>18.97966910721686</c:v>
                </c:pt>
                <c:pt idx="39">
                  <c:v>17.46712779408915</c:v>
                </c:pt>
                <c:pt idx="40">
                  <c:v>16.331507014057554</c:v>
                </c:pt>
                <c:pt idx="41">
                  <c:v>2.0165627131113033</c:v>
                </c:pt>
                <c:pt idx="42">
                  <c:v>10.69087575675103</c:v>
                </c:pt>
                <c:pt idx="43">
                  <c:v>9.399858684091393</c:v>
                </c:pt>
                <c:pt idx="44">
                  <c:v>10.100993615018545</c:v>
                </c:pt>
                <c:pt idx="45">
                  <c:v>3.5366203988193066</c:v>
                </c:pt>
                <c:pt idx="46">
                  <c:v>18.091903393814526</c:v>
                </c:pt>
                <c:pt idx="47">
                  <c:v>4.285158679378844</c:v>
                </c:pt>
                <c:pt idx="48">
                  <c:v>3.976453110294542</c:v>
                </c:pt>
                <c:pt idx="49">
                  <c:v>0.5944933984407071</c:v>
                </c:pt>
                <c:pt idx="50">
                  <c:v>10.313466447635452</c:v>
                </c:pt>
                <c:pt idx="51">
                  <c:v>14.361006678877157</c:v>
                </c:pt>
                <c:pt idx="52">
                  <c:v>11.722837868415668</c:v>
                </c:pt>
                <c:pt idx="53">
                  <c:v>0.3504031245836149</c:v>
                </c:pt>
                <c:pt idx="54">
                  <c:v>12.322788236741587</c:v>
                </c:pt>
                <c:pt idx="55">
                  <c:v>0.5387840399814617</c:v>
                </c:pt>
                <c:pt idx="56">
                  <c:v>11.093032992042776</c:v>
                </c:pt>
                <c:pt idx="57">
                  <c:v>12.884466498092893</c:v>
                </c:pt>
                <c:pt idx="58">
                  <c:v>10.149304510231994</c:v>
                </c:pt>
                <c:pt idx="59">
                  <c:v>0.27250869459694427</c:v>
                </c:pt>
                <c:pt idx="60">
                  <c:v>1.275445325289268</c:v>
                </c:pt>
                <c:pt idx="61">
                  <c:v>3.8762045023695544</c:v>
                </c:pt>
                <c:pt idx="62">
                  <c:v>1.627771518813901</c:v>
                </c:pt>
                <c:pt idx="63">
                  <c:v>4.096209907663924</c:v>
                </c:pt>
                <c:pt idx="64">
                  <c:v>4.749340025119203</c:v>
                </c:pt>
                <c:pt idx="65">
                  <c:v>7.899636962663608</c:v>
                </c:pt>
                <c:pt idx="66">
                  <c:v>1.9127116983974992</c:v>
                </c:pt>
                <c:pt idx="67">
                  <c:v>8.846324463363256</c:v>
                </c:pt>
                <c:pt idx="68">
                  <c:v>1.3694188717382425</c:v>
                </c:pt>
                <c:pt idx="69">
                  <c:v>0.6458975290659281</c:v>
                </c:pt>
                <c:pt idx="70">
                  <c:v>1.6667724746316332</c:v>
                </c:pt>
                <c:pt idx="71">
                  <c:v>7.7539608868066</c:v>
                </c:pt>
                <c:pt idx="72">
                  <c:v>8.137073725962145</c:v>
                </c:pt>
                <c:pt idx="73">
                  <c:v>5.316991100233073</c:v>
                </c:pt>
                <c:pt idx="74">
                  <c:v>0.3040013515615782</c:v>
                </c:pt>
                <c:pt idx="75">
                  <c:v>0.6177268282766589</c:v>
                </c:pt>
                <c:pt idx="76">
                  <c:v>0.3136000000856449</c:v>
                </c:pt>
                <c:pt idx="77">
                  <c:v>7.3196261286666395</c:v>
                </c:pt>
                <c:pt idx="78">
                  <c:v>7.112158147827173</c:v>
                </c:pt>
                <c:pt idx="79">
                  <c:v>6.318763855533355</c:v>
                </c:pt>
                <c:pt idx="80">
                  <c:v>6.2001302631802915</c:v>
                </c:pt>
                <c:pt idx="81">
                  <c:v>2.1432434597298395</c:v>
                </c:pt>
                <c:pt idx="82">
                  <c:v>0.7512632616892182</c:v>
                </c:pt>
                <c:pt idx="83">
                  <c:v>0.7160153180603266</c:v>
                </c:pt>
                <c:pt idx="84">
                  <c:v>5.074014787772811</c:v>
                </c:pt>
                <c:pt idx="85">
                  <c:v>5.61599097327796</c:v>
                </c:pt>
                <c:pt idx="86">
                  <c:v>0.3041539288571913</c:v>
                </c:pt>
                <c:pt idx="87">
                  <c:v>4.348056568675602</c:v>
                </c:pt>
                <c:pt idx="88">
                  <c:v>5.445153446549222</c:v>
                </c:pt>
                <c:pt idx="89">
                  <c:v>5.340557545373392</c:v>
                </c:pt>
                <c:pt idx="90">
                  <c:v>0.3523263542563326</c:v>
                </c:pt>
                <c:pt idx="91">
                  <c:v>0.8543107929290324</c:v>
                </c:pt>
                <c:pt idx="92">
                  <c:v>0.2704588035314443</c:v>
                </c:pt>
                <c:pt idx="93">
                  <c:v>4.666626899841986</c:v>
                </c:pt>
                <c:pt idx="94">
                  <c:v>0.4405702720113983</c:v>
                </c:pt>
                <c:pt idx="95">
                  <c:v>0.2957349319924537</c:v>
                </c:pt>
                <c:pt idx="96">
                  <c:v>4.1796013316815745</c:v>
                </c:pt>
                <c:pt idx="97">
                  <c:v>4.072569456400163</c:v>
                </c:pt>
                <c:pt idx="98">
                  <c:v>0.28397613266777005</c:v>
                </c:pt>
                <c:pt idx="99">
                  <c:v>3.991184418954283</c:v>
                </c:pt>
              </c:numCache>
            </c:numRef>
          </c:yVal>
          <c:smooth val="0"/>
        </c:ser>
        <c:ser>
          <c:idx val="1"/>
          <c:order val="1"/>
          <c:tx>
            <c:strRef>
              <c:f>'Задача2-П2-(КZ хорош)-'!$C$26</c:f>
              <c:strCache>
                <c:ptCount val="1"/>
                <c:pt idx="0">
                  <c:v>Z1=Z-3*DZ</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'Задача2-П2-(КZ хорош)-'!$J$32:$J$131</c:f>
              <c:numCache>
                <c:ptCount val="100"/>
                <c:pt idx="0">
                  <c:v>0.22066493337224735</c:v>
                </c:pt>
                <c:pt idx="1">
                  <c:v>0.22066493337224735</c:v>
                </c:pt>
                <c:pt idx="2">
                  <c:v>0.22066493337224735</c:v>
                </c:pt>
                <c:pt idx="3">
                  <c:v>0.22066493337224735</c:v>
                </c:pt>
                <c:pt idx="4">
                  <c:v>0.22066493337224735</c:v>
                </c:pt>
                <c:pt idx="5">
                  <c:v>0.22066493337224735</c:v>
                </c:pt>
                <c:pt idx="6">
                  <c:v>0.22066493337224735</c:v>
                </c:pt>
                <c:pt idx="7">
                  <c:v>0.22066493337224735</c:v>
                </c:pt>
                <c:pt idx="8">
                  <c:v>0.22066493337224735</c:v>
                </c:pt>
                <c:pt idx="9">
                  <c:v>0.22066493337224735</c:v>
                </c:pt>
                <c:pt idx="10">
                  <c:v>0.22066493337224735</c:v>
                </c:pt>
                <c:pt idx="11">
                  <c:v>0.22066493337224735</c:v>
                </c:pt>
                <c:pt idx="12">
                  <c:v>0.22066493337224735</c:v>
                </c:pt>
                <c:pt idx="13">
                  <c:v>0.22066493337224735</c:v>
                </c:pt>
                <c:pt idx="14">
                  <c:v>0.22066493337224735</c:v>
                </c:pt>
                <c:pt idx="15">
                  <c:v>0.22066493337224735</c:v>
                </c:pt>
                <c:pt idx="16">
                  <c:v>0.22066493337224735</c:v>
                </c:pt>
                <c:pt idx="17">
                  <c:v>0.22066493337224735</c:v>
                </c:pt>
                <c:pt idx="18">
                  <c:v>0.22066493337224735</c:v>
                </c:pt>
                <c:pt idx="19">
                  <c:v>0.22066493337224735</c:v>
                </c:pt>
                <c:pt idx="20">
                  <c:v>0.22066493337224735</c:v>
                </c:pt>
                <c:pt idx="21">
                  <c:v>0.22066493337224735</c:v>
                </c:pt>
                <c:pt idx="22">
                  <c:v>0.22066493337224735</c:v>
                </c:pt>
                <c:pt idx="23">
                  <c:v>0.22066493337224735</c:v>
                </c:pt>
                <c:pt idx="24">
                  <c:v>0.22066493337224735</c:v>
                </c:pt>
                <c:pt idx="25">
                  <c:v>0.22066493337224735</c:v>
                </c:pt>
                <c:pt idx="26">
                  <c:v>0.22066493337224735</c:v>
                </c:pt>
                <c:pt idx="27">
                  <c:v>0.22066493337224735</c:v>
                </c:pt>
                <c:pt idx="28">
                  <c:v>0.22066493337224735</c:v>
                </c:pt>
                <c:pt idx="29">
                  <c:v>0.22066493337224735</c:v>
                </c:pt>
                <c:pt idx="30">
                  <c:v>0.22066493337224735</c:v>
                </c:pt>
                <c:pt idx="31">
                  <c:v>0.22066493337224735</c:v>
                </c:pt>
                <c:pt idx="32">
                  <c:v>0.22066493337224735</c:v>
                </c:pt>
                <c:pt idx="33">
                  <c:v>0.22066493337224735</c:v>
                </c:pt>
                <c:pt idx="34">
                  <c:v>0.22066493337224735</c:v>
                </c:pt>
                <c:pt idx="35">
                  <c:v>0.22066493337224735</c:v>
                </c:pt>
                <c:pt idx="36">
                  <c:v>0.22066493337224735</c:v>
                </c:pt>
                <c:pt idx="37">
                  <c:v>0.22066493337224735</c:v>
                </c:pt>
                <c:pt idx="38">
                  <c:v>0.22066493337224735</c:v>
                </c:pt>
                <c:pt idx="39">
                  <c:v>0.22066493337224735</c:v>
                </c:pt>
                <c:pt idx="40">
                  <c:v>0.22066493337224735</c:v>
                </c:pt>
                <c:pt idx="41">
                  <c:v>0.22066493337224735</c:v>
                </c:pt>
                <c:pt idx="42">
                  <c:v>0.22066493337224735</c:v>
                </c:pt>
                <c:pt idx="43">
                  <c:v>0.22066493337224735</c:v>
                </c:pt>
                <c:pt idx="44">
                  <c:v>0.22066493337224735</c:v>
                </c:pt>
                <c:pt idx="45">
                  <c:v>0.22066493337224735</c:v>
                </c:pt>
                <c:pt idx="46">
                  <c:v>0.22066493337224735</c:v>
                </c:pt>
                <c:pt idx="47">
                  <c:v>0.22066493337224735</c:v>
                </c:pt>
                <c:pt idx="48">
                  <c:v>0.22066493337224735</c:v>
                </c:pt>
                <c:pt idx="49">
                  <c:v>0.22066493337224735</c:v>
                </c:pt>
                <c:pt idx="50">
                  <c:v>0.22066493337224735</c:v>
                </c:pt>
                <c:pt idx="51">
                  <c:v>0.22066493337224735</c:v>
                </c:pt>
                <c:pt idx="52">
                  <c:v>0.22066493337224735</c:v>
                </c:pt>
                <c:pt idx="53">
                  <c:v>0.22066493337224735</c:v>
                </c:pt>
                <c:pt idx="54">
                  <c:v>0.22066493337224735</c:v>
                </c:pt>
                <c:pt idx="55">
                  <c:v>0.22066493337224735</c:v>
                </c:pt>
                <c:pt idx="56">
                  <c:v>0.22066493337224735</c:v>
                </c:pt>
                <c:pt idx="57">
                  <c:v>0.22066493337224735</c:v>
                </c:pt>
                <c:pt idx="58">
                  <c:v>0.22066493337224735</c:v>
                </c:pt>
                <c:pt idx="59">
                  <c:v>0.22066493337224735</c:v>
                </c:pt>
                <c:pt idx="60">
                  <c:v>0.22066493337224735</c:v>
                </c:pt>
                <c:pt idx="61">
                  <c:v>0.22066493337224735</c:v>
                </c:pt>
                <c:pt idx="62">
                  <c:v>0.22066493337224735</c:v>
                </c:pt>
                <c:pt idx="63">
                  <c:v>0.22066493337224735</c:v>
                </c:pt>
                <c:pt idx="64">
                  <c:v>0.22066493337224735</c:v>
                </c:pt>
                <c:pt idx="65">
                  <c:v>0.22066493337224735</c:v>
                </c:pt>
                <c:pt idx="66">
                  <c:v>0.22066493337224735</c:v>
                </c:pt>
                <c:pt idx="67">
                  <c:v>0.22066493337224735</c:v>
                </c:pt>
                <c:pt idx="68">
                  <c:v>0.22066493337224735</c:v>
                </c:pt>
                <c:pt idx="69">
                  <c:v>0.22066493337224735</c:v>
                </c:pt>
                <c:pt idx="70">
                  <c:v>0.22066493337224735</c:v>
                </c:pt>
                <c:pt idx="71">
                  <c:v>0.22066493337224735</c:v>
                </c:pt>
                <c:pt idx="72">
                  <c:v>0.22066493337224735</c:v>
                </c:pt>
                <c:pt idx="73">
                  <c:v>0.22066493337224735</c:v>
                </c:pt>
                <c:pt idx="74">
                  <c:v>0.22066493337224735</c:v>
                </c:pt>
                <c:pt idx="75">
                  <c:v>0.22066493337224735</c:v>
                </c:pt>
                <c:pt idx="76">
                  <c:v>0.22066493337224735</c:v>
                </c:pt>
                <c:pt idx="77">
                  <c:v>0.22066493337224735</c:v>
                </c:pt>
                <c:pt idx="78">
                  <c:v>0.22066493337224735</c:v>
                </c:pt>
                <c:pt idx="79">
                  <c:v>0.22066493337224735</c:v>
                </c:pt>
                <c:pt idx="80">
                  <c:v>0.22066493337224735</c:v>
                </c:pt>
                <c:pt idx="81">
                  <c:v>0.22066493337224735</c:v>
                </c:pt>
                <c:pt idx="82">
                  <c:v>0.22066493337224735</c:v>
                </c:pt>
                <c:pt idx="83">
                  <c:v>0.22066493337224735</c:v>
                </c:pt>
                <c:pt idx="84">
                  <c:v>0.22066493337224735</c:v>
                </c:pt>
                <c:pt idx="85">
                  <c:v>0.22066493337224735</c:v>
                </c:pt>
                <c:pt idx="86">
                  <c:v>0.22066493337224735</c:v>
                </c:pt>
                <c:pt idx="87">
                  <c:v>0.22066493337224735</c:v>
                </c:pt>
                <c:pt idx="88">
                  <c:v>0.22066493337224735</c:v>
                </c:pt>
                <c:pt idx="89">
                  <c:v>0.22066493337224735</c:v>
                </c:pt>
                <c:pt idx="90">
                  <c:v>0.22066493337224735</c:v>
                </c:pt>
                <c:pt idx="91">
                  <c:v>0.22066493337224735</c:v>
                </c:pt>
                <c:pt idx="92">
                  <c:v>0.22066493337224735</c:v>
                </c:pt>
                <c:pt idx="93">
                  <c:v>0.22066493337224735</c:v>
                </c:pt>
                <c:pt idx="94">
                  <c:v>0.22066493337224735</c:v>
                </c:pt>
                <c:pt idx="95">
                  <c:v>0.22066493337224735</c:v>
                </c:pt>
                <c:pt idx="96">
                  <c:v>0.22066493337224735</c:v>
                </c:pt>
                <c:pt idx="97">
                  <c:v>0.22066493337224735</c:v>
                </c:pt>
                <c:pt idx="98">
                  <c:v>0.22066493337224735</c:v>
                </c:pt>
                <c:pt idx="99">
                  <c:v>0.22066493337224735</c:v>
                </c:pt>
              </c:numCache>
            </c:numRef>
          </c:yVal>
          <c:smooth val="0"/>
        </c:ser>
        <c:ser>
          <c:idx val="2"/>
          <c:order val="2"/>
          <c:tx>
            <c:strRef>
              <c:f>'Задача2-П2-(КZ хорош)-'!$C$27</c:f>
              <c:strCache>
                <c:ptCount val="1"/>
                <c:pt idx="0">
                  <c:v>Z2=Z+3*DZ</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'Задача2-П2-(КZ хорош)-'!$K$32:$K$131</c:f>
              <c:numCache>
                <c:ptCount val="100"/>
                <c:pt idx="0">
                  <c:v>0.3898158048795247</c:v>
                </c:pt>
                <c:pt idx="1">
                  <c:v>0.3898158048795247</c:v>
                </c:pt>
                <c:pt idx="2">
                  <c:v>0.3898158048795247</c:v>
                </c:pt>
                <c:pt idx="3">
                  <c:v>0.3898158048795247</c:v>
                </c:pt>
                <c:pt idx="4">
                  <c:v>0.3898158048795247</c:v>
                </c:pt>
                <c:pt idx="5">
                  <c:v>0.3898158048795247</c:v>
                </c:pt>
                <c:pt idx="6">
                  <c:v>0.3898158048795247</c:v>
                </c:pt>
                <c:pt idx="7">
                  <c:v>0.3898158048795247</c:v>
                </c:pt>
                <c:pt idx="8">
                  <c:v>0.3898158048795247</c:v>
                </c:pt>
                <c:pt idx="9">
                  <c:v>0.3898158048795247</c:v>
                </c:pt>
                <c:pt idx="10">
                  <c:v>0.3898158048795247</c:v>
                </c:pt>
                <c:pt idx="11">
                  <c:v>0.3898158048795247</c:v>
                </c:pt>
                <c:pt idx="12">
                  <c:v>0.3898158048795247</c:v>
                </c:pt>
                <c:pt idx="13">
                  <c:v>0.3898158048795247</c:v>
                </c:pt>
                <c:pt idx="14">
                  <c:v>0.3898158048795247</c:v>
                </c:pt>
                <c:pt idx="15">
                  <c:v>0.3898158048795247</c:v>
                </c:pt>
                <c:pt idx="16">
                  <c:v>0.3898158048795247</c:v>
                </c:pt>
                <c:pt idx="17">
                  <c:v>0.3898158048795247</c:v>
                </c:pt>
                <c:pt idx="18">
                  <c:v>0.3898158048795247</c:v>
                </c:pt>
                <c:pt idx="19">
                  <c:v>0.3898158048795247</c:v>
                </c:pt>
                <c:pt idx="20">
                  <c:v>0.3898158048795247</c:v>
                </c:pt>
                <c:pt idx="21">
                  <c:v>0.3898158048795247</c:v>
                </c:pt>
                <c:pt idx="22">
                  <c:v>0.3898158048795247</c:v>
                </c:pt>
                <c:pt idx="23">
                  <c:v>0.3898158048795247</c:v>
                </c:pt>
                <c:pt idx="24">
                  <c:v>0.3898158048795247</c:v>
                </c:pt>
                <c:pt idx="25">
                  <c:v>0.3898158048795247</c:v>
                </c:pt>
                <c:pt idx="26">
                  <c:v>0.3898158048795247</c:v>
                </c:pt>
                <c:pt idx="27">
                  <c:v>0.3898158048795247</c:v>
                </c:pt>
                <c:pt idx="28">
                  <c:v>0.3898158048795247</c:v>
                </c:pt>
                <c:pt idx="29">
                  <c:v>0.3898158048795247</c:v>
                </c:pt>
                <c:pt idx="30">
                  <c:v>0.3898158048795247</c:v>
                </c:pt>
                <c:pt idx="31">
                  <c:v>0.3898158048795247</c:v>
                </c:pt>
                <c:pt idx="32">
                  <c:v>0.3898158048795247</c:v>
                </c:pt>
                <c:pt idx="33">
                  <c:v>0.3898158048795247</c:v>
                </c:pt>
                <c:pt idx="34">
                  <c:v>0.3898158048795247</c:v>
                </c:pt>
                <c:pt idx="35">
                  <c:v>0.3898158048795247</c:v>
                </c:pt>
                <c:pt idx="36">
                  <c:v>0.3898158048795247</c:v>
                </c:pt>
                <c:pt idx="37">
                  <c:v>0.3898158048795247</c:v>
                </c:pt>
                <c:pt idx="38">
                  <c:v>0.3898158048795247</c:v>
                </c:pt>
                <c:pt idx="39">
                  <c:v>0.3898158048795247</c:v>
                </c:pt>
                <c:pt idx="40">
                  <c:v>0.3898158048795247</c:v>
                </c:pt>
                <c:pt idx="41">
                  <c:v>0.3898158048795247</c:v>
                </c:pt>
                <c:pt idx="42">
                  <c:v>0.3898158048795247</c:v>
                </c:pt>
                <c:pt idx="43">
                  <c:v>0.3898158048795247</c:v>
                </c:pt>
                <c:pt idx="44">
                  <c:v>0.3898158048795247</c:v>
                </c:pt>
                <c:pt idx="45">
                  <c:v>0.3898158048795247</c:v>
                </c:pt>
                <c:pt idx="46">
                  <c:v>0.3898158048795247</c:v>
                </c:pt>
                <c:pt idx="47">
                  <c:v>0.3898158048795247</c:v>
                </c:pt>
                <c:pt idx="48">
                  <c:v>0.3898158048795247</c:v>
                </c:pt>
                <c:pt idx="49">
                  <c:v>0.3898158048795247</c:v>
                </c:pt>
                <c:pt idx="50">
                  <c:v>0.3898158048795247</c:v>
                </c:pt>
                <c:pt idx="51">
                  <c:v>0.3898158048795247</c:v>
                </c:pt>
                <c:pt idx="52">
                  <c:v>0.3898158048795247</c:v>
                </c:pt>
                <c:pt idx="53">
                  <c:v>0.3898158048795247</c:v>
                </c:pt>
                <c:pt idx="54">
                  <c:v>0.3898158048795247</c:v>
                </c:pt>
                <c:pt idx="55">
                  <c:v>0.3898158048795247</c:v>
                </c:pt>
                <c:pt idx="56">
                  <c:v>0.3898158048795247</c:v>
                </c:pt>
                <c:pt idx="57">
                  <c:v>0.3898158048795247</c:v>
                </c:pt>
                <c:pt idx="58">
                  <c:v>0.3898158048795247</c:v>
                </c:pt>
                <c:pt idx="59">
                  <c:v>0.3898158048795247</c:v>
                </c:pt>
                <c:pt idx="60">
                  <c:v>0.3898158048795247</c:v>
                </c:pt>
                <c:pt idx="61">
                  <c:v>0.3898158048795247</c:v>
                </c:pt>
                <c:pt idx="62">
                  <c:v>0.3898158048795247</c:v>
                </c:pt>
                <c:pt idx="63">
                  <c:v>0.3898158048795247</c:v>
                </c:pt>
                <c:pt idx="64">
                  <c:v>0.3898158048795247</c:v>
                </c:pt>
                <c:pt idx="65">
                  <c:v>0.3898158048795247</c:v>
                </c:pt>
                <c:pt idx="66">
                  <c:v>0.3898158048795247</c:v>
                </c:pt>
                <c:pt idx="67">
                  <c:v>0.3898158048795247</c:v>
                </c:pt>
                <c:pt idx="68">
                  <c:v>0.3898158048795247</c:v>
                </c:pt>
                <c:pt idx="69">
                  <c:v>0.3898158048795247</c:v>
                </c:pt>
                <c:pt idx="70">
                  <c:v>0.3898158048795247</c:v>
                </c:pt>
                <c:pt idx="71">
                  <c:v>0.3898158048795247</c:v>
                </c:pt>
                <c:pt idx="72">
                  <c:v>0.3898158048795247</c:v>
                </c:pt>
                <c:pt idx="73">
                  <c:v>0.3898158048795247</c:v>
                </c:pt>
                <c:pt idx="74">
                  <c:v>0.3898158048795247</c:v>
                </c:pt>
                <c:pt idx="75">
                  <c:v>0.3898158048795247</c:v>
                </c:pt>
                <c:pt idx="76">
                  <c:v>0.3898158048795247</c:v>
                </c:pt>
                <c:pt idx="77">
                  <c:v>0.3898158048795247</c:v>
                </c:pt>
                <c:pt idx="78">
                  <c:v>0.3898158048795247</c:v>
                </c:pt>
                <c:pt idx="79">
                  <c:v>0.3898158048795247</c:v>
                </c:pt>
                <c:pt idx="80">
                  <c:v>0.3898158048795247</c:v>
                </c:pt>
                <c:pt idx="81">
                  <c:v>0.3898158048795247</c:v>
                </c:pt>
                <c:pt idx="82">
                  <c:v>0.3898158048795247</c:v>
                </c:pt>
                <c:pt idx="83">
                  <c:v>0.3898158048795247</c:v>
                </c:pt>
                <c:pt idx="84">
                  <c:v>0.3898158048795247</c:v>
                </c:pt>
                <c:pt idx="85">
                  <c:v>0.3898158048795247</c:v>
                </c:pt>
                <c:pt idx="86">
                  <c:v>0.3898158048795247</c:v>
                </c:pt>
                <c:pt idx="87">
                  <c:v>0.3898158048795247</c:v>
                </c:pt>
                <c:pt idx="88">
                  <c:v>0.3898158048795247</c:v>
                </c:pt>
                <c:pt idx="89">
                  <c:v>0.3898158048795247</c:v>
                </c:pt>
                <c:pt idx="90">
                  <c:v>0.3898158048795247</c:v>
                </c:pt>
                <c:pt idx="91">
                  <c:v>0.3898158048795247</c:v>
                </c:pt>
                <c:pt idx="92">
                  <c:v>0.3898158048795247</c:v>
                </c:pt>
                <c:pt idx="93">
                  <c:v>0.3898158048795247</c:v>
                </c:pt>
                <c:pt idx="94">
                  <c:v>0.3898158048795247</c:v>
                </c:pt>
                <c:pt idx="95">
                  <c:v>0.3898158048795247</c:v>
                </c:pt>
                <c:pt idx="96">
                  <c:v>0.3898158048795247</c:v>
                </c:pt>
                <c:pt idx="97">
                  <c:v>0.3898158048795247</c:v>
                </c:pt>
                <c:pt idx="98">
                  <c:v>0.3898158048795247</c:v>
                </c:pt>
                <c:pt idx="99">
                  <c:v>0.3898158048795247</c:v>
                </c:pt>
              </c:numCache>
            </c:numRef>
          </c:yVal>
          <c:smooth val="0"/>
        </c:ser>
        <c:axId val="29928512"/>
        <c:axId val="921153"/>
      </c:scatterChart>
      <c:valAx>
        <c:axId val="29928512"/>
        <c:scaling>
          <c:orientation val="minMax"/>
          <c:max val="101"/>
          <c:min val="1"/>
        </c:scaling>
        <c:axPos val="b"/>
        <c:delete val="1"/>
        <c:majorTickMark val="out"/>
        <c:minorTickMark val="none"/>
        <c:tickLblPos val="nextTo"/>
        <c:crossAx val="921153"/>
        <c:crosses val="autoZero"/>
        <c:crossBetween val="midCat"/>
        <c:dispUnits/>
        <c:majorUnit val="101"/>
      </c:valAx>
      <c:valAx>
        <c:axId val="921153"/>
        <c:scaling>
          <c:orientation val="minMax"/>
          <c:max val="2"/>
          <c:min val="0"/>
        </c:scaling>
        <c:axPos val="l"/>
        <c:majorGridlines/>
        <c:delete val="0"/>
        <c:numFmt formatCode="General" sourceLinked="1"/>
        <c:majorTickMark val="out"/>
        <c:minorTickMark val="none"/>
        <c:tickLblPos val="nextTo"/>
        <c:crossAx val="29928512"/>
        <c:crosses val="autoZero"/>
        <c:crossBetween val="midCat"/>
        <c:dispUnits/>
        <c:majorUnit val="1"/>
        <c:minorUnit val="0.1"/>
      </c:valAx>
      <c:spPr>
        <a:solidFill>
          <a:srgbClr val="FFFFFF"/>
        </a:solidFill>
        <a:ln w="12700">
          <a:solidFill/>
        </a:ln>
      </c:spPr>
    </c:plotArea>
    <c:legend>
      <c:legendPos val="r"/>
      <c:layout>
        <c:manualLayout>
          <c:xMode val="edge"/>
          <c:yMode val="edge"/>
          <c:x val="0.7645"/>
          <c:y val="0.338"/>
        </c:manualLayout>
      </c:layout>
      <c:overlay val="0"/>
    </c:legend>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38100</xdr:rowOff>
    </xdr:from>
    <xdr:to>
      <xdr:col>8</xdr:col>
      <xdr:colOff>1181100</xdr:colOff>
      <xdr:row>132</xdr:row>
      <xdr:rowOff>19050</xdr:rowOff>
    </xdr:to>
    <xdr:graphicFrame>
      <xdr:nvGraphicFramePr>
        <xdr:cNvPr id="1" name="Chart 2"/>
        <xdr:cNvGraphicFramePr/>
      </xdr:nvGraphicFramePr>
      <xdr:xfrm>
        <a:off x="0" y="19002375"/>
        <a:ext cx="6238875" cy="2409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132</xdr:row>
      <xdr:rowOff>38100</xdr:rowOff>
    </xdr:from>
    <xdr:to>
      <xdr:col>8</xdr:col>
      <xdr:colOff>1181100</xdr:colOff>
      <xdr:row>159</xdr:row>
      <xdr:rowOff>95250</xdr:rowOff>
    </xdr:to>
    <xdr:graphicFrame>
      <xdr:nvGraphicFramePr>
        <xdr:cNvPr id="2" name="Chart 3"/>
        <xdr:cNvGraphicFramePr/>
      </xdr:nvGraphicFramePr>
      <xdr:xfrm>
        <a:off x="0" y="21431250"/>
        <a:ext cx="6238875" cy="442912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156</xdr:row>
      <xdr:rowOff>133350</xdr:rowOff>
    </xdr:from>
    <xdr:to>
      <xdr:col>2</xdr:col>
      <xdr:colOff>133350</xdr:colOff>
      <xdr:row>157</xdr:row>
      <xdr:rowOff>123825</xdr:rowOff>
    </xdr:to>
    <xdr:sp>
      <xdr:nvSpPr>
        <xdr:cNvPr id="3" name="Line 4"/>
        <xdr:cNvSpPr>
          <a:spLocks/>
        </xdr:cNvSpPr>
      </xdr:nvSpPr>
      <xdr:spPr>
        <a:xfrm>
          <a:off x="695325" y="25412700"/>
          <a:ext cx="2095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457200</xdr:colOff>
      <xdr:row>156</xdr:row>
      <xdr:rowOff>123825</xdr:rowOff>
    </xdr:from>
    <xdr:to>
      <xdr:col>3</xdr:col>
      <xdr:colOff>104775</xdr:colOff>
      <xdr:row>157</xdr:row>
      <xdr:rowOff>133350</xdr:rowOff>
    </xdr:to>
    <xdr:sp>
      <xdr:nvSpPr>
        <xdr:cNvPr id="4" name="Line 5"/>
        <xdr:cNvSpPr>
          <a:spLocks/>
        </xdr:cNvSpPr>
      </xdr:nvSpPr>
      <xdr:spPr>
        <a:xfrm flipH="1">
          <a:off x="1228725" y="25403175"/>
          <a:ext cx="2952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85725</xdr:colOff>
      <xdr:row>157</xdr:row>
      <xdr:rowOff>95250</xdr:rowOff>
    </xdr:from>
    <xdr:to>
      <xdr:col>4</xdr:col>
      <xdr:colOff>0</xdr:colOff>
      <xdr:row>163</xdr:row>
      <xdr:rowOff>114300</xdr:rowOff>
    </xdr:to>
    <xdr:sp>
      <xdr:nvSpPr>
        <xdr:cNvPr id="5" name="TextBox 6"/>
        <xdr:cNvSpPr txBox="1">
          <a:spLocks noChangeArrowheads="1"/>
        </xdr:cNvSpPr>
      </xdr:nvSpPr>
      <xdr:spPr>
        <a:xfrm>
          <a:off x="85725" y="25536525"/>
          <a:ext cx="22098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VSN(k)=VB(k)=0, включены в резидентную фракцию R. 
Они - это только синий столбик без красного низа - на диаграмме все слева.</a:t>
          </a:r>
        </a:p>
      </xdr:txBody>
    </xdr:sp>
    <xdr:clientData/>
  </xdr:twoCellAnchor>
  <xdr:twoCellAnchor>
    <xdr:from>
      <xdr:col>4</xdr:col>
      <xdr:colOff>190500</xdr:colOff>
      <xdr:row>158</xdr:row>
      <xdr:rowOff>57150</xdr:rowOff>
    </xdr:from>
    <xdr:to>
      <xdr:col>8</xdr:col>
      <xdr:colOff>790575</xdr:colOff>
      <xdr:row>163</xdr:row>
      <xdr:rowOff>142875</xdr:rowOff>
    </xdr:to>
    <xdr:sp>
      <xdr:nvSpPr>
        <xdr:cNvPr id="6" name="TextBox 7"/>
        <xdr:cNvSpPr txBox="1">
          <a:spLocks noChangeArrowheads="1"/>
        </xdr:cNvSpPr>
      </xdr:nvSpPr>
      <xdr:spPr>
        <a:xfrm>
          <a:off x="2486025" y="25660350"/>
          <a:ext cx="3362325"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VSR(k)=0, включены в нерезидентную фракцию N. 
Они - это только красный столбик без синего верха - на диаграмме расположены вперемешку с видами из смешанной фракции RuN.</a:t>
          </a:r>
        </a:p>
      </xdr:txBody>
    </xdr:sp>
    <xdr:clientData/>
  </xdr:twoCellAnchor>
  <xdr:twoCellAnchor>
    <xdr:from>
      <xdr:col>1</xdr:col>
      <xdr:colOff>314325</xdr:colOff>
      <xdr:row>130</xdr:row>
      <xdr:rowOff>47625</xdr:rowOff>
    </xdr:from>
    <xdr:to>
      <xdr:col>8</xdr:col>
      <xdr:colOff>266700</xdr:colOff>
      <xdr:row>132</xdr:row>
      <xdr:rowOff>76200</xdr:rowOff>
    </xdr:to>
    <xdr:sp>
      <xdr:nvSpPr>
        <xdr:cNvPr id="7" name="TextBox 8"/>
        <xdr:cNvSpPr txBox="1">
          <a:spLocks noChangeArrowheads="1"/>
        </xdr:cNvSpPr>
      </xdr:nvSpPr>
      <xdr:spPr>
        <a:xfrm>
          <a:off x="609600" y="21116925"/>
          <a:ext cx="47148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На всех диаграммах виды k упорядочены по возрастанию VB(k). </a:t>
          </a:r>
        </a:p>
      </xdr:txBody>
    </xdr:sp>
    <xdr:clientData/>
  </xdr:twoCellAnchor>
  <xdr:twoCellAnchor>
    <xdr:from>
      <xdr:col>0</xdr:col>
      <xdr:colOff>0</xdr:colOff>
      <xdr:row>173</xdr:row>
      <xdr:rowOff>114300</xdr:rowOff>
    </xdr:from>
    <xdr:to>
      <xdr:col>8</xdr:col>
      <xdr:colOff>1190625</xdr:colOff>
      <xdr:row>208</xdr:row>
      <xdr:rowOff>85725</xdr:rowOff>
    </xdr:to>
    <xdr:graphicFrame>
      <xdr:nvGraphicFramePr>
        <xdr:cNvPr id="8" name="Chart 10"/>
        <xdr:cNvGraphicFramePr/>
      </xdr:nvGraphicFramePr>
      <xdr:xfrm>
        <a:off x="0" y="28146375"/>
        <a:ext cx="6248400" cy="5638800"/>
      </xdr:xfrm>
      <a:graphic>
        <a:graphicData uri="http://schemas.openxmlformats.org/drawingml/2006/chart">
          <c:chart xmlns:c="http://schemas.openxmlformats.org/drawingml/2006/chart" r:id="rId3"/>
        </a:graphicData>
      </a:graphic>
    </xdr:graphicFrame>
    <xdr:clientData/>
  </xdr:twoCellAnchor>
  <xdr:twoCellAnchor>
    <xdr:from>
      <xdr:col>3</xdr:col>
      <xdr:colOff>438150</xdr:colOff>
      <xdr:row>179</xdr:row>
      <xdr:rowOff>133350</xdr:rowOff>
    </xdr:from>
    <xdr:to>
      <xdr:col>8</xdr:col>
      <xdr:colOff>104775</xdr:colOff>
      <xdr:row>189</xdr:row>
      <xdr:rowOff>114300</xdr:rowOff>
    </xdr:to>
    <xdr:sp>
      <xdr:nvSpPr>
        <xdr:cNvPr id="9" name="TextBox 11"/>
        <xdr:cNvSpPr txBox="1">
          <a:spLocks noChangeArrowheads="1"/>
        </xdr:cNvSpPr>
      </xdr:nvSpPr>
      <xdr:spPr>
        <a:xfrm>
          <a:off x="1857375" y="29136975"/>
          <a:ext cx="3305175" cy="1600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VSR(k)=0, включены в нерезидентную фракцию N. 
Z(k)= VS(k)/VB(k) для них принимает минимальное значение, равное ZN (здесь точки равные ZN находятся почти на горизонтальной оси). 
Для видов k, включенных в резидентную фракцию, значения не вычисляются, т.к. VB(k)=0.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141</xdr:row>
      <xdr:rowOff>38100</xdr:rowOff>
    </xdr:from>
    <xdr:to>
      <xdr:col>8</xdr:col>
      <xdr:colOff>1171575</xdr:colOff>
      <xdr:row>156</xdr:row>
      <xdr:rowOff>19050</xdr:rowOff>
    </xdr:to>
    <xdr:graphicFrame>
      <xdr:nvGraphicFramePr>
        <xdr:cNvPr id="1" name="Chart 2"/>
        <xdr:cNvGraphicFramePr/>
      </xdr:nvGraphicFramePr>
      <xdr:xfrm>
        <a:off x="0" y="22450425"/>
        <a:ext cx="6438900" cy="2409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156</xdr:row>
      <xdr:rowOff>38100</xdr:rowOff>
    </xdr:from>
    <xdr:to>
      <xdr:col>8</xdr:col>
      <xdr:colOff>1171575</xdr:colOff>
      <xdr:row>183</xdr:row>
      <xdr:rowOff>95250</xdr:rowOff>
    </xdr:to>
    <xdr:graphicFrame>
      <xdr:nvGraphicFramePr>
        <xdr:cNvPr id="2" name="Chart 3"/>
        <xdr:cNvGraphicFramePr/>
      </xdr:nvGraphicFramePr>
      <xdr:xfrm>
        <a:off x="0" y="24879300"/>
        <a:ext cx="6438900" cy="442912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180</xdr:row>
      <xdr:rowOff>133350</xdr:rowOff>
    </xdr:from>
    <xdr:to>
      <xdr:col>2</xdr:col>
      <xdr:colOff>133350</xdr:colOff>
      <xdr:row>181</xdr:row>
      <xdr:rowOff>123825</xdr:rowOff>
    </xdr:to>
    <xdr:sp>
      <xdr:nvSpPr>
        <xdr:cNvPr id="3" name="Line 4"/>
        <xdr:cNvSpPr>
          <a:spLocks/>
        </xdr:cNvSpPr>
      </xdr:nvSpPr>
      <xdr:spPr>
        <a:xfrm>
          <a:off x="695325" y="28860750"/>
          <a:ext cx="2095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457200</xdr:colOff>
      <xdr:row>180</xdr:row>
      <xdr:rowOff>123825</xdr:rowOff>
    </xdr:from>
    <xdr:to>
      <xdr:col>3</xdr:col>
      <xdr:colOff>104775</xdr:colOff>
      <xdr:row>181</xdr:row>
      <xdr:rowOff>133350</xdr:rowOff>
    </xdr:to>
    <xdr:sp>
      <xdr:nvSpPr>
        <xdr:cNvPr id="4" name="Line 5"/>
        <xdr:cNvSpPr>
          <a:spLocks/>
        </xdr:cNvSpPr>
      </xdr:nvSpPr>
      <xdr:spPr>
        <a:xfrm flipH="1">
          <a:off x="1228725" y="28851225"/>
          <a:ext cx="447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85725</xdr:colOff>
      <xdr:row>181</xdr:row>
      <xdr:rowOff>95250</xdr:rowOff>
    </xdr:from>
    <xdr:to>
      <xdr:col>4</xdr:col>
      <xdr:colOff>0</xdr:colOff>
      <xdr:row>187</xdr:row>
      <xdr:rowOff>114300</xdr:rowOff>
    </xdr:to>
    <xdr:sp>
      <xdr:nvSpPr>
        <xdr:cNvPr id="5" name="TextBox 6"/>
        <xdr:cNvSpPr txBox="1">
          <a:spLocks noChangeArrowheads="1"/>
        </xdr:cNvSpPr>
      </xdr:nvSpPr>
      <xdr:spPr>
        <a:xfrm>
          <a:off x="85725" y="28984575"/>
          <a:ext cx="23622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PSN(k)=PB(k)=0, включены в резидентную фракцию R. 
Они - это только синий столбик без красного низа - на диаграмме все слева.</a:t>
          </a:r>
        </a:p>
      </xdr:txBody>
    </xdr:sp>
    <xdr:clientData/>
  </xdr:twoCellAnchor>
  <xdr:twoCellAnchor>
    <xdr:from>
      <xdr:col>4</xdr:col>
      <xdr:colOff>190500</xdr:colOff>
      <xdr:row>182</xdr:row>
      <xdr:rowOff>57150</xdr:rowOff>
    </xdr:from>
    <xdr:to>
      <xdr:col>8</xdr:col>
      <xdr:colOff>781050</xdr:colOff>
      <xdr:row>187</xdr:row>
      <xdr:rowOff>142875</xdr:rowOff>
    </xdr:to>
    <xdr:sp>
      <xdr:nvSpPr>
        <xdr:cNvPr id="6" name="TextBox 7"/>
        <xdr:cNvSpPr txBox="1">
          <a:spLocks noChangeArrowheads="1"/>
        </xdr:cNvSpPr>
      </xdr:nvSpPr>
      <xdr:spPr>
        <a:xfrm>
          <a:off x="2638425" y="29108400"/>
          <a:ext cx="3409950"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Они - это только красный столбик без синего верха - на диаграмме расположены вперемешку с видами из смешанной фракции RuN.</a:t>
          </a:r>
        </a:p>
      </xdr:txBody>
    </xdr:sp>
    <xdr:clientData/>
  </xdr:twoCellAnchor>
  <xdr:twoCellAnchor>
    <xdr:from>
      <xdr:col>1</xdr:col>
      <xdr:colOff>314325</xdr:colOff>
      <xdr:row>154</xdr:row>
      <xdr:rowOff>47625</xdr:rowOff>
    </xdr:from>
    <xdr:to>
      <xdr:col>8</xdr:col>
      <xdr:colOff>266700</xdr:colOff>
      <xdr:row>156</xdr:row>
      <xdr:rowOff>76200</xdr:rowOff>
    </xdr:to>
    <xdr:sp>
      <xdr:nvSpPr>
        <xdr:cNvPr id="7" name="TextBox 8"/>
        <xdr:cNvSpPr txBox="1">
          <a:spLocks noChangeArrowheads="1"/>
        </xdr:cNvSpPr>
      </xdr:nvSpPr>
      <xdr:spPr>
        <a:xfrm>
          <a:off x="609600" y="24564975"/>
          <a:ext cx="492442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На всех диаграммах виды k упорядочены по возрастанию VB(k). </a:t>
          </a:r>
        </a:p>
      </xdr:txBody>
    </xdr:sp>
    <xdr:clientData/>
  </xdr:twoCellAnchor>
  <xdr:twoCellAnchor>
    <xdr:from>
      <xdr:col>0</xdr:col>
      <xdr:colOff>0</xdr:colOff>
      <xdr:row>188</xdr:row>
      <xdr:rowOff>133350</xdr:rowOff>
    </xdr:from>
    <xdr:to>
      <xdr:col>8</xdr:col>
      <xdr:colOff>1181100</xdr:colOff>
      <xdr:row>232</xdr:row>
      <xdr:rowOff>85725</xdr:rowOff>
    </xdr:to>
    <xdr:graphicFrame>
      <xdr:nvGraphicFramePr>
        <xdr:cNvPr id="8" name="Chart 10"/>
        <xdr:cNvGraphicFramePr/>
      </xdr:nvGraphicFramePr>
      <xdr:xfrm>
        <a:off x="0" y="30156150"/>
        <a:ext cx="6448425" cy="707707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196</xdr:row>
      <xdr:rowOff>85725</xdr:rowOff>
    </xdr:from>
    <xdr:to>
      <xdr:col>5</xdr:col>
      <xdr:colOff>552450</xdr:colOff>
      <xdr:row>204</xdr:row>
      <xdr:rowOff>152400</xdr:rowOff>
    </xdr:to>
    <xdr:sp>
      <xdr:nvSpPr>
        <xdr:cNvPr id="9" name="TextBox 11"/>
        <xdr:cNvSpPr txBox="1">
          <a:spLocks noChangeArrowheads="1"/>
        </xdr:cNvSpPr>
      </xdr:nvSpPr>
      <xdr:spPr>
        <a:xfrm>
          <a:off x="409575" y="31403925"/>
          <a:ext cx="3314700" cy="1362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Z(k)= PS(k)/PB(k) для них значение
между двумя пунктирными линиями. 
Для видов k, включенных в резидентную фракцию, значения не вычисляются, т.к. PB(k)=0. 
Значения Z(k) больше 5 не показаны.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136</xdr:row>
      <xdr:rowOff>38100</xdr:rowOff>
    </xdr:from>
    <xdr:to>
      <xdr:col>8</xdr:col>
      <xdr:colOff>1171575</xdr:colOff>
      <xdr:row>151</xdr:row>
      <xdr:rowOff>19050</xdr:rowOff>
    </xdr:to>
    <xdr:graphicFrame>
      <xdr:nvGraphicFramePr>
        <xdr:cNvPr id="1" name="Chart 3"/>
        <xdr:cNvGraphicFramePr/>
      </xdr:nvGraphicFramePr>
      <xdr:xfrm>
        <a:off x="85725" y="22136100"/>
        <a:ext cx="6362700" cy="2409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151</xdr:row>
      <xdr:rowOff>38100</xdr:rowOff>
    </xdr:from>
    <xdr:to>
      <xdr:col>8</xdr:col>
      <xdr:colOff>1171575</xdr:colOff>
      <xdr:row>178</xdr:row>
      <xdr:rowOff>95250</xdr:rowOff>
    </xdr:to>
    <xdr:graphicFrame>
      <xdr:nvGraphicFramePr>
        <xdr:cNvPr id="2" name="Chart 4"/>
        <xdr:cNvGraphicFramePr/>
      </xdr:nvGraphicFramePr>
      <xdr:xfrm>
        <a:off x="0" y="24564975"/>
        <a:ext cx="6448425" cy="4429125"/>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177</xdr:row>
      <xdr:rowOff>19050</xdr:rowOff>
    </xdr:from>
    <xdr:to>
      <xdr:col>2</xdr:col>
      <xdr:colOff>133350</xdr:colOff>
      <xdr:row>178</xdr:row>
      <xdr:rowOff>0</xdr:rowOff>
    </xdr:to>
    <xdr:sp>
      <xdr:nvSpPr>
        <xdr:cNvPr id="3" name="Line 16"/>
        <xdr:cNvSpPr>
          <a:spLocks/>
        </xdr:cNvSpPr>
      </xdr:nvSpPr>
      <xdr:spPr>
        <a:xfrm>
          <a:off x="695325" y="28755975"/>
          <a:ext cx="2095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457200</xdr:colOff>
      <xdr:row>177</xdr:row>
      <xdr:rowOff>19050</xdr:rowOff>
    </xdr:from>
    <xdr:to>
      <xdr:col>2</xdr:col>
      <xdr:colOff>762000</xdr:colOff>
      <xdr:row>178</xdr:row>
      <xdr:rowOff>19050</xdr:rowOff>
    </xdr:to>
    <xdr:sp>
      <xdr:nvSpPr>
        <xdr:cNvPr id="4" name="Line 17"/>
        <xdr:cNvSpPr>
          <a:spLocks/>
        </xdr:cNvSpPr>
      </xdr:nvSpPr>
      <xdr:spPr>
        <a:xfrm flipH="1">
          <a:off x="1228725" y="28755975"/>
          <a:ext cx="3048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257175</xdr:colOff>
      <xdr:row>178</xdr:row>
      <xdr:rowOff>9525</xdr:rowOff>
    </xdr:from>
    <xdr:to>
      <xdr:col>4</xdr:col>
      <xdr:colOff>38100</xdr:colOff>
      <xdr:row>184</xdr:row>
      <xdr:rowOff>47625</xdr:rowOff>
    </xdr:to>
    <xdr:sp>
      <xdr:nvSpPr>
        <xdr:cNvPr id="5" name="TextBox 15"/>
        <xdr:cNvSpPr txBox="1">
          <a:spLocks noChangeArrowheads="1"/>
        </xdr:cNvSpPr>
      </xdr:nvSpPr>
      <xdr:spPr>
        <a:xfrm>
          <a:off x="257175" y="28908375"/>
          <a:ext cx="2228850"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PSN(k)=PB(k)=0, включены в резидентную фракцию R. Они - это только синий столбик без красного низа - на диаграмме все слева.</a:t>
          </a:r>
        </a:p>
      </xdr:txBody>
    </xdr:sp>
    <xdr:clientData/>
  </xdr:twoCellAnchor>
  <xdr:twoCellAnchor>
    <xdr:from>
      <xdr:col>4</xdr:col>
      <xdr:colOff>180975</xdr:colOff>
      <xdr:row>177</xdr:row>
      <xdr:rowOff>85725</xdr:rowOff>
    </xdr:from>
    <xdr:to>
      <xdr:col>8</xdr:col>
      <xdr:colOff>771525</xdr:colOff>
      <xdr:row>184</xdr:row>
      <xdr:rowOff>9525</xdr:rowOff>
    </xdr:to>
    <xdr:sp>
      <xdr:nvSpPr>
        <xdr:cNvPr id="6" name="TextBox 18"/>
        <xdr:cNvSpPr txBox="1">
          <a:spLocks noChangeArrowheads="1"/>
        </xdr:cNvSpPr>
      </xdr:nvSpPr>
      <xdr:spPr>
        <a:xfrm>
          <a:off x="2628900" y="28822650"/>
          <a:ext cx="3419475" cy="1057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Они - это только красный (или зеленый - NL) столбик без синего верха - на диаграмме расположены вперемешку с видами из смешанной фракции RuN (двухцветные столбики). </a:t>
          </a:r>
        </a:p>
      </xdr:txBody>
    </xdr:sp>
    <xdr:clientData/>
  </xdr:twoCellAnchor>
  <xdr:twoCellAnchor>
    <xdr:from>
      <xdr:col>1</xdr:col>
      <xdr:colOff>381000</xdr:colOff>
      <xdr:row>150</xdr:row>
      <xdr:rowOff>19050</xdr:rowOff>
    </xdr:from>
    <xdr:to>
      <xdr:col>8</xdr:col>
      <xdr:colOff>342900</xdr:colOff>
      <xdr:row>151</xdr:row>
      <xdr:rowOff>104775</xdr:rowOff>
    </xdr:to>
    <xdr:sp>
      <xdr:nvSpPr>
        <xdr:cNvPr id="7" name="TextBox 19"/>
        <xdr:cNvSpPr txBox="1">
          <a:spLocks noChangeArrowheads="1"/>
        </xdr:cNvSpPr>
      </xdr:nvSpPr>
      <xdr:spPr>
        <a:xfrm>
          <a:off x="676275" y="24384000"/>
          <a:ext cx="4943475" cy="247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На всех диаграммах виды k упорядочены по возрастанию PB(k). </a:t>
          </a:r>
        </a:p>
      </xdr:txBody>
    </xdr:sp>
    <xdr:clientData/>
  </xdr:twoCellAnchor>
  <xdr:twoCellAnchor>
    <xdr:from>
      <xdr:col>0</xdr:col>
      <xdr:colOff>228600</xdr:colOff>
      <xdr:row>184</xdr:row>
      <xdr:rowOff>57150</xdr:rowOff>
    </xdr:from>
    <xdr:to>
      <xdr:col>8</xdr:col>
      <xdr:colOff>1143000</xdr:colOff>
      <xdr:row>211</xdr:row>
      <xdr:rowOff>47625</xdr:rowOff>
    </xdr:to>
    <xdr:graphicFrame>
      <xdr:nvGraphicFramePr>
        <xdr:cNvPr id="8" name="Chart 21"/>
        <xdr:cNvGraphicFramePr/>
      </xdr:nvGraphicFramePr>
      <xdr:xfrm>
        <a:off x="228600" y="29927550"/>
        <a:ext cx="6191250" cy="4362450"/>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189</xdr:row>
      <xdr:rowOff>28575</xdr:rowOff>
    </xdr:from>
    <xdr:to>
      <xdr:col>4</xdr:col>
      <xdr:colOff>704850</xdr:colOff>
      <xdr:row>194</xdr:row>
      <xdr:rowOff>142875</xdr:rowOff>
    </xdr:to>
    <xdr:sp>
      <xdr:nvSpPr>
        <xdr:cNvPr id="9" name="TextBox 23"/>
        <xdr:cNvSpPr txBox="1">
          <a:spLocks noChangeArrowheads="1"/>
        </xdr:cNvSpPr>
      </xdr:nvSpPr>
      <xdr:spPr>
        <a:xfrm>
          <a:off x="628650" y="30708600"/>
          <a:ext cx="2524125" cy="923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yr"/>
              <a:ea typeface="Arial Cyr"/>
              <a:cs typeface="Arial Cyr"/>
            </a:rPr>
            <a:t>Все виды k, для которых PSR(k)=0, включены в нерезидентную фракцию N. 
Z(k)= PS(k)/PB(k) для них значение
между двумя пунктирными линиями. 
Для видов k, включенных в резидентную фракцию, значения не вычисляются, т.к. PB(k)=0.  Значения Z(k) больше 2 не показаны.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144</xdr:row>
      <xdr:rowOff>38100</xdr:rowOff>
    </xdr:from>
    <xdr:to>
      <xdr:col>8</xdr:col>
      <xdr:colOff>1171575</xdr:colOff>
      <xdr:row>159</xdr:row>
      <xdr:rowOff>19050</xdr:rowOff>
    </xdr:to>
    <xdr:graphicFrame>
      <xdr:nvGraphicFramePr>
        <xdr:cNvPr id="1" name="Chart 2"/>
        <xdr:cNvGraphicFramePr/>
      </xdr:nvGraphicFramePr>
      <xdr:xfrm>
        <a:off x="0" y="23441025"/>
        <a:ext cx="6448425" cy="2409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159</xdr:row>
      <xdr:rowOff>38100</xdr:rowOff>
    </xdr:from>
    <xdr:to>
      <xdr:col>8</xdr:col>
      <xdr:colOff>1171575</xdr:colOff>
      <xdr:row>186</xdr:row>
      <xdr:rowOff>95250</xdr:rowOff>
    </xdr:to>
    <xdr:graphicFrame>
      <xdr:nvGraphicFramePr>
        <xdr:cNvPr id="2" name="Chart 3"/>
        <xdr:cNvGraphicFramePr/>
      </xdr:nvGraphicFramePr>
      <xdr:xfrm>
        <a:off x="0" y="25869900"/>
        <a:ext cx="6448425" cy="4429125"/>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183</xdr:row>
      <xdr:rowOff>123825</xdr:rowOff>
    </xdr:from>
    <xdr:to>
      <xdr:col>2</xdr:col>
      <xdr:colOff>133350</xdr:colOff>
      <xdr:row>184</xdr:row>
      <xdr:rowOff>123825</xdr:rowOff>
    </xdr:to>
    <xdr:sp>
      <xdr:nvSpPr>
        <xdr:cNvPr id="3" name="Line 4"/>
        <xdr:cNvSpPr>
          <a:spLocks/>
        </xdr:cNvSpPr>
      </xdr:nvSpPr>
      <xdr:spPr>
        <a:xfrm>
          <a:off x="657225" y="29841825"/>
          <a:ext cx="2476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485775</xdr:colOff>
      <xdr:row>183</xdr:row>
      <xdr:rowOff>152400</xdr:rowOff>
    </xdr:from>
    <xdr:to>
      <xdr:col>2</xdr:col>
      <xdr:colOff>742950</xdr:colOff>
      <xdr:row>187</xdr:row>
      <xdr:rowOff>9525</xdr:rowOff>
    </xdr:to>
    <xdr:sp>
      <xdr:nvSpPr>
        <xdr:cNvPr id="4" name="Line 5"/>
        <xdr:cNvSpPr>
          <a:spLocks/>
        </xdr:cNvSpPr>
      </xdr:nvSpPr>
      <xdr:spPr>
        <a:xfrm flipH="1">
          <a:off x="1257300" y="29870400"/>
          <a:ext cx="2571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85725</xdr:colOff>
      <xdr:row>184</xdr:row>
      <xdr:rowOff>95250</xdr:rowOff>
    </xdr:from>
    <xdr:to>
      <xdr:col>4</xdr:col>
      <xdr:colOff>0</xdr:colOff>
      <xdr:row>190</xdr:row>
      <xdr:rowOff>114300</xdr:rowOff>
    </xdr:to>
    <xdr:sp>
      <xdr:nvSpPr>
        <xdr:cNvPr id="5" name="TextBox 6"/>
        <xdr:cNvSpPr txBox="1">
          <a:spLocks noChangeArrowheads="1"/>
        </xdr:cNvSpPr>
      </xdr:nvSpPr>
      <xdr:spPr>
        <a:xfrm>
          <a:off x="85725" y="29975175"/>
          <a:ext cx="23622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PSN(k)=PB(k)=0, включены в резидентную фракцию R. 
Они - это только синий столбик без красного низа - на диаграмме все слева.</a:t>
          </a:r>
        </a:p>
      </xdr:txBody>
    </xdr:sp>
    <xdr:clientData/>
  </xdr:twoCellAnchor>
  <xdr:twoCellAnchor>
    <xdr:from>
      <xdr:col>4</xdr:col>
      <xdr:colOff>171450</xdr:colOff>
      <xdr:row>184</xdr:row>
      <xdr:rowOff>95250</xdr:rowOff>
    </xdr:from>
    <xdr:to>
      <xdr:col>8</xdr:col>
      <xdr:colOff>762000</xdr:colOff>
      <xdr:row>191</xdr:row>
      <xdr:rowOff>28575</xdr:rowOff>
    </xdr:to>
    <xdr:sp>
      <xdr:nvSpPr>
        <xdr:cNvPr id="6" name="TextBox 7"/>
        <xdr:cNvSpPr txBox="1">
          <a:spLocks noChangeArrowheads="1"/>
        </xdr:cNvSpPr>
      </xdr:nvSpPr>
      <xdr:spPr>
        <a:xfrm>
          <a:off x="2619375" y="29975175"/>
          <a:ext cx="34194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Они - это только красный (или зеленый - NL) столбик без синего верха - на диаграмме расположены вперемешку с видами из смешанной фракции RuN (двухцветные столбики). </a:t>
          </a:r>
        </a:p>
      </xdr:txBody>
    </xdr:sp>
    <xdr:clientData/>
  </xdr:twoCellAnchor>
  <xdr:twoCellAnchor>
    <xdr:from>
      <xdr:col>1</xdr:col>
      <xdr:colOff>314325</xdr:colOff>
      <xdr:row>157</xdr:row>
      <xdr:rowOff>47625</xdr:rowOff>
    </xdr:from>
    <xdr:to>
      <xdr:col>8</xdr:col>
      <xdr:colOff>266700</xdr:colOff>
      <xdr:row>159</xdr:row>
      <xdr:rowOff>76200</xdr:rowOff>
    </xdr:to>
    <xdr:sp>
      <xdr:nvSpPr>
        <xdr:cNvPr id="7" name="TextBox 8"/>
        <xdr:cNvSpPr txBox="1">
          <a:spLocks noChangeArrowheads="1"/>
        </xdr:cNvSpPr>
      </xdr:nvSpPr>
      <xdr:spPr>
        <a:xfrm>
          <a:off x="609600" y="25555575"/>
          <a:ext cx="493395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На всех диаграммах виды k упорядочены по возрастанию PB(k). </a:t>
          </a:r>
        </a:p>
      </xdr:txBody>
    </xdr:sp>
    <xdr:clientData/>
  </xdr:twoCellAnchor>
  <xdr:twoCellAnchor>
    <xdr:from>
      <xdr:col>0</xdr:col>
      <xdr:colOff>0</xdr:colOff>
      <xdr:row>191</xdr:row>
      <xdr:rowOff>133350</xdr:rowOff>
    </xdr:from>
    <xdr:to>
      <xdr:col>8</xdr:col>
      <xdr:colOff>1181100</xdr:colOff>
      <xdr:row>235</xdr:row>
      <xdr:rowOff>85725</xdr:rowOff>
    </xdr:to>
    <xdr:graphicFrame>
      <xdr:nvGraphicFramePr>
        <xdr:cNvPr id="8" name="Chart 10"/>
        <xdr:cNvGraphicFramePr/>
      </xdr:nvGraphicFramePr>
      <xdr:xfrm>
        <a:off x="0" y="31146750"/>
        <a:ext cx="6457950" cy="707707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199</xdr:row>
      <xdr:rowOff>85725</xdr:rowOff>
    </xdr:from>
    <xdr:to>
      <xdr:col>5</xdr:col>
      <xdr:colOff>552450</xdr:colOff>
      <xdr:row>208</xdr:row>
      <xdr:rowOff>152400</xdr:rowOff>
    </xdr:to>
    <xdr:sp>
      <xdr:nvSpPr>
        <xdr:cNvPr id="9" name="TextBox 11"/>
        <xdr:cNvSpPr txBox="1">
          <a:spLocks noChangeArrowheads="1"/>
        </xdr:cNvSpPr>
      </xdr:nvSpPr>
      <xdr:spPr>
        <a:xfrm>
          <a:off x="409575" y="32394525"/>
          <a:ext cx="3314700" cy="1524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Z(k)= PS(k)/PB(k) для них принимает значение
между двумя пунктирными линиями, 
(NL выделены зелеными кружками). 
Для видов k, включенных в резидентную фракцию, значения не вычисляются, т.к. PB(k)=0. 
Значения Z(k) больше 5 не показаны. </a:t>
          </a:r>
        </a:p>
      </xdr:txBody>
    </xdr:sp>
    <xdr:clientData/>
  </xdr:twoCellAnchor>
  <xdr:twoCellAnchor>
    <xdr:from>
      <xdr:col>8</xdr:col>
      <xdr:colOff>180975</xdr:colOff>
      <xdr:row>230</xdr:row>
      <xdr:rowOff>85725</xdr:rowOff>
    </xdr:from>
    <xdr:to>
      <xdr:col>8</xdr:col>
      <xdr:colOff>304800</xdr:colOff>
      <xdr:row>231</xdr:row>
      <xdr:rowOff>19050</xdr:rowOff>
    </xdr:to>
    <xdr:sp>
      <xdr:nvSpPr>
        <xdr:cNvPr id="10" name="Oval 17"/>
        <xdr:cNvSpPr>
          <a:spLocks/>
        </xdr:cNvSpPr>
      </xdr:nvSpPr>
      <xdr:spPr>
        <a:xfrm>
          <a:off x="5457825" y="37414200"/>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257175</xdr:colOff>
      <xdr:row>229</xdr:row>
      <xdr:rowOff>104775</xdr:rowOff>
    </xdr:from>
    <xdr:to>
      <xdr:col>6</xdr:col>
      <xdr:colOff>390525</xdr:colOff>
      <xdr:row>230</xdr:row>
      <xdr:rowOff>38100</xdr:rowOff>
    </xdr:to>
    <xdr:sp>
      <xdr:nvSpPr>
        <xdr:cNvPr id="11" name="Oval 18"/>
        <xdr:cNvSpPr>
          <a:spLocks/>
        </xdr:cNvSpPr>
      </xdr:nvSpPr>
      <xdr:spPr>
        <a:xfrm>
          <a:off x="4105275" y="37271325"/>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571500</xdr:colOff>
      <xdr:row>229</xdr:row>
      <xdr:rowOff>142875</xdr:rowOff>
    </xdr:from>
    <xdr:to>
      <xdr:col>4</xdr:col>
      <xdr:colOff>695325</xdr:colOff>
      <xdr:row>230</xdr:row>
      <xdr:rowOff>76200</xdr:rowOff>
    </xdr:to>
    <xdr:sp>
      <xdr:nvSpPr>
        <xdr:cNvPr id="12" name="Oval 19"/>
        <xdr:cNvSpPr>
          <a:spLocks/>
        </xdr:cNvSpPr>
      </xdr:nvSpPr>
      <xdr:spPr>
        <a:xfrm>
          <a:off x="3019425" y="37309425"/>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590550</xdr:colOff>
      <xdr:row>229</xdr:row>
      <xdr:rowOff>133350</xdr:rowOff>
    </xdr:from>
    <xdr:to>
      <xdr:col>7</xdr:col>
      <xdr:colOff>66675</xdr:colOff>
      <xdr:row>230</xdr:row>
      <xdr:rowOff>66675</xdr:rowOff>
    </xdr:to>
    <xdr:sp>
      <xdr:nvSpPr>
        <xdr:cNvPr id="13" name="Oval 21"/>
        <xdr:cNvSpPr>
          <a:spLocks/>
        </xdr:cNvSpPr>
      </xdr:nvSpPr>
      <xdr:spPr>
        <a:xfrm>
          <a:off x="4438650" y="37299900"/>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38100</xdr:rowOff>
    </xdr:from>
    <xdr:to>
      <xdr:col>8</xdr:col>
      <xdr:colOff>1171575</xdr:colOff>
      <xdr:row>146</xdr:row>
      <xdr:rowOff>19050</xdr:rowOff>
    </xdr:to>
    <xdr:graphicFrame>
      <xdr:nvGraphicFramePr>
        <xdr:cNvPr id="1" name="Chart 2"/>
        <xdr:cNvGraphicFramePr/>
      </xdr:nvGraphicFramePr>
      <xdr:xfrm>
        <a:off x="0" y="21326475"/>
        <a:ext cx="6448425" cy="2409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146</xdr:row>
      <xdr:rowOff>38100</xdr:rowOff>
    </xdr:from>
    <xdr:to>
      <xdr:col>8</xdr:col>
      <xdr:colOff>1171575</xdr:colOff>
      <xdr:row>173</xdr:row>
      <xdr:rowOff>95250</xdr:rowOff>
    </xdr:to>
    <xdr:graphicFrame>
      <xdr:nvGraphicFramePr>
        <xdr:cNvPr id="2" name="Chart 3"/>
        <xdr:cNvGraphicFramePr/>
      </xdr:nvGraphicFramePr>
      <xdr:xfrm>
        <a:off x="0" y="23755350"/>
        <a:ext cx="6448425" cy="4429125"/>
      </xdr:xfrm>
      <a:graphic>
        <a:graphicData uri="http://schemas.openxmlformats.org/drawingml/2006/chart">
          <c:chart xmlns:c="http://schemas.openxmlformats.org/drawingml/2006/chart" r:id="rId2"/>
        </a:graphicData>
      </a:graphic>
    </xdr:graphicFrame>
    <xdr:clientData/>
  </xdr:twoCellAnchor>
  <xdr:twoCellAnchor>
    <xdr:from>
      <xdr:col>1</xdr:col>
      <xdr:colOff>419100</xdr:colOff>
      <xdr:row>168</xdr:row>
      <xdr:rowOff>133350</xdr:rowOff>
    </xdr:from>
    <xdr:to>
      <xdr:col>2</xdr:col>
      <xdr:colOff>133350</xdr:colOff>
      <xdr:row>171</xdr:row>
      <xdr:rowOff>123825</xdr:rowOff>
    </xdr:to>
    <xdr:sp>
      <xdr:nvSpPr>
        <xdr:cNvPr id="3" name="Line 4"/>
        <xdr:cNvSpPr>
          <a:spLocks/>
        </xdr:cNvSpPr>
      </xdr:nvSpPr>
      <xdr:spPr>
        <a:xfrm>
          <a:off x="714375" y="27412950"/>
          <a:ext cx="1905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485775</xdr:colOff>
      <xdr:row>168</xdr:row>
      <xdr:rowOff>114300</xdr:rowOff>
    </xdr:from>
    <xdr:to>
      <xdr:col>2</xdr:col>
      <xdr:colOff>609600</xdr:colOff>
      <xdr:row>174</xdr:row>
      <xdr:rowOff>9525</xdr:rowOff>
    </xdr:to>
    <xdr:sp>
      <xdr:nvSpPr>
        <xdr:cNvPr id="4" name="Line 5"/>
        <xdr:cNvSpPr>
          <a:spLocks/>
        </xdr:cNvSpPr>
      </xdr:nvSpPr>
      <xdr:spPr>
        <a:xfrm flipH="1">
          <a:off x="1257300" y="27393900"/>
          <a:ext cx="1238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85725</xdr:colOff>
      <xdr:row>171</xdr:row>
      <xdr:rowOff>95250</xdr:rowOff>
    </xdr:from>
    <xdr:to>
      <xdr:col>4</xdr:col>
      <xdr:colOff>0</xdr:colOff>
      <xdr:row>177</xdr:row>
      <xdr:rowOff>114300</xdr:rowOff>
    </xdr:to>
    <xdr:sp>
      <xdr:nvSpPr>
        <xdr:cNvPr id="5" name="TextBox 6"/>
        <xdr:cNvSpPr txBox="1">
          <a:spLocks noChangeArrowheads="1"/>
        </xdr:cNvSpPr>
      </xdr:nvSpPr>
      <xdr:spPr>
        <a:xfrm>
          <a:off x="85725" y="27860625"/>
          <a:ext cx="23622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PSN(k)=PB(k)=0, включены в резидентную фракцию R. 
Они - это только синий столбик без красного низа - на диаграмме все слева.</a:t>
          </a:r>
        </a:p>
      </xdr:txBody>
    </xdr:sp>
    <xdr:clientData/>
  </xdr:twoCellAnchor>
  <xdr:twoCellAnchor>
    <xdr:from>
      <xdr:col>4</xdr:col>
      <xdr:colOff>171450</xdr:colOff>
      <xdr:row>171</xdr:row>
      <xdr:rowOff>95250</xdr:rowOff>
    </xdr:from>
    <xdr:to>
      <xdr:col>8</xdr:col>
      <xdr:colOff>762000</xdr:colOff>
      <xdr:row>178</xdr:row>
      <xdr:rowOff>28575</xdr:rowOff>
    </xdr:to>
    <xdr:sp>
      <xdr:nvSpPr>
        <xdr:cNvPr id="6" name="TextBox 7"/>
        <xdr:cNvSpPr txBox="1">
          <a:spLocks noChangeArrowheads="1"/>
        </xdr:cNvSpPr>
      </xdr:nvSpPr>
      <xdr:spPr>
        <a:xfrm>
          <a:off x="2619375" y="27860625"/>
          <a:ext cx="34194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Они - это только красный (или зеленый - NL) столбик без синего верха - на диаграмме расположены вперемешку с видами из смешанной фракции RuN (двухцветные столбики). </a:t>
          </a:r>
        </a:p>
      </xdr:txBody>
    </xdr:sp>
    <xdr:clientData/>
  </xdr:twoCellAnchor>
  <xdr:twoCellAnchor>
    <xdr:from>
      <xdr:col>1</xdr:col>
      <xdr:colOff>314325</xdr:colOff>
      <xdr:row>144</xdr:row>
      <xdr:rowOff>47625</xdr:rowOff>
    </xdr:from>
    <xdr:to>
      <xdr:col>8</xdr:col>
      <xdr:colOff>266700</xdr:colOff>
      <xdr:row>146</xdr:row>
      <xdr:rowOff>76200</xdr:rowOff>
    </xdr:to>
    <xdr:sp>
      <xdr:nvSpPr>
        <xdr:cNvPr id="7" name="TextBox 8"/>
        <xdr:cNvSpPr txBox="1">
          <a:spLocks noChangeArrowheads="1"/>
        </xdr:cNvSpPr>
      </xdr:nvSpPr>
      <xdr:spPr>
        <a:xfrm>
          <a:off x="609600" y="23441025"/>
          <a:ext cx="493395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На всех диаграммах виды k упорядочены по возрастанию PB(k). </a:t>
          </a:r>
        </a:p>
      </xdr:txBody>
    </xdr:sp>
    <xdr:clientData/>
  </xdr:twoCellAnchor>
  <xdr:twoCellAnchor>
    <xdr:from>
      <xdr:col>0</xdr:col>
      <xdr:colOff>0</xdr:colOff>
      <xdr:row>178</xdr:row>
      <xdr:rowOff>133350</xdr:rowOff>
    </xdr:from>
    <xdr:to>
      <xdr:col>8</xdr:col>
      <xdr:colOff>1181100</xdr:colOff>
      <xdr:row>222</xdr:row>
      <xdr:rowOff>85725</xdr:rowOff>
    </xdr:to>
    <xdr:graphicFrame>
      <xdr:nvGraphicFramePr>
        <xdr:cNvPr id="8" name="Chart 10"/>
        <xdr:cNvGraphicFramePr/>
      </xdr:nvGraphicFramePr>
      <xdr:xfrm>
        <a:off x="0" y="29032200"/>
        <a:ext cx="6457950" cy="707707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186</xdr:row>
      <xdr:rowOff>85725</xdr:rowOff>
    </xdr:from>
    <xdr:to>
      <xdr:col>5</xdr:col>
      <xdr:colOff>552450</xdr:colOff>
      <xdr:row>198</xdr:row>
      <xdr:rowOff>19050</xdr:rowOff>
    </xdr:to>
    <xdr:sp>
      <xdr:nvSpPr>
        <xdr:cNvPr id="9" name="TextBox 11"/>
        <xdr:cNvSpPr txBox="1">
          <a:spLocks noChangeArrowheads="1"/>
        </xdr:cNvSpPr>
      </xdr:nvSpPr>
      <xdr:spPr>
        <a:xfrm>
          <a:off x="409575" y="30279975"/>
          <a:ext cx="3314700" cy="1876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yr"/>
              <a:ea typeface="Arial Cyr"/>
              <a:cs typeface="Arial Cyr"/>
            </a:rPr>
            <a:t>Все виды k, для которых PSR(k)=0, включены в нерезидентную фракцию N. 
Z(k)= PS(k)/PB(k) для них принимает значение
между двумя пунктирными линиями, 
(NL выделены зелеными кружками). 
Для видов k, включенных в резидентную фракцию, значения не вычисляются, т.к. PB(k)=0. 
Значения Z(k) больше 5 не показаны.
Фракция S разделилась надвое 
(выше и ниже фракции N) </a:t>
          </a:r>
        </a:p>
      </xdr:txBody>
    </xdr:sp>
    <xdr:clientData/>
  </xdr:twoCellAnchor>
  <xdr:twoCellAnchor>
    <xdr:from>
      <xdr:col>6</xdr:col>
      <xdr:colOff>257175</xdr:colOff>
      <xdr:row>216</xdr:row>
      <xdr:rowOff>104775</xdr:rowOff>
    </xdr:from>
    <xdr:to>
      <xdr:col>6</xdr:col>
      <xdr:colOff>390525</xdr:colOff>
      <xdr:row>217</xdr:row>
      <xdr:rowOff>38100</xdr:rowOff>
    </xdr:to>
    <xdr:sp>
      <xdr:nvSpPr>
        <xdr:cNvPr id="10" name="Oval 18"/>
        <xdr:cNvSpPr>
          <a:spLocks/>
        </xdr:cNvSpPr>
      </xdr:nvSpPr>
      <xdr:spPr>
        <a:xfrm>
          <a:off x="4105275" y="35156775"/>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571500</xdr:colOff>
      <xdr:row>216</xdr:row>
      <xdr:rowOff>142875</xdr:rowOff>
    </xdr:from>
    <xdr:to>
      <xdr:col>4</xdr:col>
      <xdr:colOff>695325</xdr:colOff>
      <xdr:row>217</xdr:row>
      <xdr:rowOff>76200</xdr:rowOff>
    </xdr:to>
    <xdr:sp>
      <xdr:nvSpPr>
        <xdr:cNvPr id="11" name="Oval 19"/>
        <xdr:cNvSpPr>
          <a:spLocks/>
        </xdr:cNvSpPr>
      </xdr:nvSpPr>
      <xdr:spPr>
        <a:xfrm>
          <a:off x="3019425" y="35194875"/>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590550</xdr:colOff>
      <xdr:row>216</xdr:row>
      <xdr:rowOff>133350</xdr:rowOff>
    </xdr:from>
    <xdr:to>
      <xdr:col>7</xdr:col>
      <xdr:colOff>66675</xdr:colOff>
      <xdr:row>217</xdr:row>
      <xdr:rowOff>66675</xdr:rowOff>
    </xdr:to>
    <xdr:sp>
      <xdr:nvSpPr>
        <xdr:cNvPr id="12" name="Oval 20"/>
        <xdr:cNvSpPr>
          <a:spLocks/>
        </xdr:cNvSpPr>
      </xdr:nvSpPr>
      <xdr:spPr>
        <a:xfrm>
          <a:off x="4438650" y="35185350"/>
          <a:ext cx="123825" cy="95250"/>
        </a:xfrm>
        <a:prstGeom prst="ellipse">
          <a:avLst/>
        </a:prstGeom>
        <a:solidFill>
          <a:srgbClr val="FFFFFF"/>
        </a:solidFill>
        <a:ln w="3175" cmpd="sng">
          <a:solidFill>
            <a:srgbClr val="339966"/>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book.bionumbers.org/how-big-is-an-e-coli-cell-and-what-is-its-mass/" TargetMode="External" /><Relationship Id="rId2" Type="http://schemas.openxmlformats.org/officeDocument/2006/relationships/comments" Target="../comments11.xml" /><Relationship Id="rId3" Type="http://schemas.openxmlformats.org/officeDocument/2006/relationships/vmlDrawing" Target="../drawings/vmlDrawing11.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ncbi.nlm.nih.gov/nuccore/NC_000001.11" TargetMode="External" /><Relationship Id="rId2" Type="http://schemas.openxmlformats.org/officeDocument/2006/relationships/hyperlink" Target="https://www.ncbi.nlm.nih.gov/nuccore/CM000663.2" TargetMode="External" /><Relationship Id="rId3" Type="http://schemas.openxmlformats.org/officeDocument/2006/relationships/hyperlink" Target="https://www.ncbi.nlm.nih.gov/nuccore/NC_000002.12" TargetMode="External" /><Relationship Id="rId4" Type="http://schemas.openxmlformats.org/officeDocument/2006/relationships/hyperlink" Target="https://www.ncbi.nlm.nih.gov/nuccore/CM000664.2" TargetMode="External" /><Relationship Id="rId5" Type="http://schemas.openxmlformats.org/officeDocument/2006/relationships/hyperlink" Target="https://www.ncbi.nlm.nih.gov/nuccore/NC_000003.12" TargetMode="External" /><Relationship Id="rId6" Type="http://schemas.openxmlformats.org/officeDocument/2006/relationships/hyperlink" Target="https://www.ncbi.nlm.nih.gov/nuccore/CM000665.2" TargetMode="External" /><Relationship Id="rId7" Type="http://schemas.openxmlformats.org/officeDocument/2006/relationships/hyperlink" Target="https://www.ncbi.nlm.nih.gov/nuccore/NC_000004.12" TargetMode="External" /><Relationship Id="rId8" Type="http://schemas.openxmlformats.org/officeDocument/2006/relationships/hyperlink" Target="https://www.ncbi.nlm.nih.gov/nuccore/CM000666.2" TargetMode="External" /><Relationship Id="rId9" Type="http://schemas.openxmlformats.org/officeDocument/2006/relationships/hyperlink" Target="https://www.ncbi.nlm.nih.gov/nuccore/NC_000005.10" TargetMode="External" /><Relationship Id="rId10" Type="http://schemas.openxmlformats.org/officeDocument/2006/relationships/hyperlink" Target="https://www.ncbi.nlm.nih.gov/nuccore/CM000667.2" TargetMode="External" /><Relationship Id="rId11" Type="http://schemas.openxmlformats.org/officeDocument/2006/relationships/hyperlink" Target="https://www.ncbi.nlm.nih.gov/nuccore/NC_000006.12" TargetMode="External" /><Relationship Id="rId12" Type="http://schemas.openxmlformats.org/officeDocument/2006/relationships/hyperlink" Target="https://www.ncbi.nlm.nih.gov/nuccore/CM000668.2" TargetMode="External" /><Relationship Id="rId13" Type="http://schemas.openxmlformats.org/officeDocument/2006/relationships/hyperlink" Target="https://www.ncbi.nlm.nih.gov/nuccore/NC_000007.14" TargetMode="External" /><Relationship Id="rId14" Type="http://schemas.openxmlformats.org/officeDocument/2006/relationships/hyperlink" Target="https://www.ncbi.nlm.nih.gov/nuccore/CM000669.2" TargetMode="External" /><Relationship Id="rId15" Type="http://schemas.openxmlformats.org/officeDocument/2006/relationships/hyperlink" Target="https://www.ncbi.nlm.nih.gov/nuccore/NC_000008.11" TargetMode="External" /><Relationship Id="rId16" Type="http://schemas.openxmlformats.org/officeDocument/2006/relationships/hyperlink" Target="https://www.ncbi.nlm.nih.gov/nuccore/CM000670.2" TargetMode="External" /><Relationship Id="rId17" Type="http://schemas.openxmlformats.org/officeDocument/2006/relationships/hyperlink" Target="https://www.ncbi.nlm.nih.gov/nuccore/NC_000009.12" TargetMode="External" /><Relationship Id="rId18" Type="http://schemas.openxmlformats.org/officeDocument/2006/relationships/hyperlink" Target="https://www.ncbi.nlm.nih.gov/nuccore/CM000671.2" TargetMode="External" /><Relationship Id="rId19" Type="http://schemas.openxmlformats.org/officeDocument/2006/relationships/hyperlink" Target="https://www.ncbi.nlm.nih.gov/nuccore/NC_000010.11" TargetMode="External" /><Relationship Id="rId20" Type="http://schemas.openxmlformats.org/officeDocument/2006/relationships/hyperlink" Target="https://www.ncbi.nlm.nih.gov/nuccore/CM000672.2" TargetMode="External" /><Relationship Id="rId21" Type="http://schemas.openxmlformats.org/officeDocument/2006/relationships/hyperlink" Target="https://www.ncbi.nlm.nih.gov/nuccore/NC_000011.10" TargetMode="External" /><Relationship Id="rId22" Type="http://schemas.openxmlformats.org/officeDocument/2006/relationships/hyperlink" Target="https://www.ncbi.nlm.nih.gov/nuccore/CM000673.2" TargetMode="External" /><Relationship Id="rId23" Type="http://schemas.openxmlformats.org/officeDocument/2006/relationships/hyperlink" Target="https://www.ncbi.nlm.nih.gov/nuccore/NC_000012.12" TargetMode="External" /><Relationship Id="rId24" Type="http://schemas.openxmlformats.org/officeDocument/2006/relationships/hyperlink" Target="https://www.ncbi.nlm.nih.gov/nuccore/CM000674.2" TargetMode="External" /><Relationship Id="rId25" Type="http://schemas.openxmlformats.org/officeDocument/2006/relationships/hyperlink" Target="https://www.ncbi.nlm.nih.gov/nuccore/NC_000013.11" TargetMode="External" /><Relationship Id="rId26" Type="http://schemas.openxmlformats.org/officeDocument/2006/relationships/hyperlink" Target="https://www.ncbi.nlm.nih.gov/nuccore/CM000675.2" TargetMode="External" /><Relationship Id="rId27" Type="http://schemas.openxmlformats.org/officeDocument/2006/relationships/hyperlink" Target="https://www.ncbi.nlm.nih.gov/nuccore/NC_000014.9" TargetMode="External" /><Relationship Id="rId28" Type="http://schemas.openxmlformats.org/officeDocument/2006/relationships/hyperlink" Target="https://www.ncbi.nlm.nih.gov/nuccore/CM000676.2" TargetMode="External" /><Relationship Id="rId29" Type="http://schemas.openxmlformats.org/officeDocument/2006/relationships/hyperlink" Target="https://www.ncbi.nlm.nih.gov/nuccore/NC_000015.10" TargetMode="External" /><Relationship Id="rId30" Type="http://schemas.openxmlformats.org/officeDocument/2006/relationships/hyperlink" Target="https://www.ncbi.nlm.nih.gov/nuccore/CM000677.2" TargetMode="External" /><Relationship Id="rId31" Type="http://schemas.openxmlformats.org/officeDocument/2006/relationships/hyperlink" Target="https://www.ncbi.nlm.nih.gov/nuccore/NC_000016.10" TargetMode="External" /><Relationship Id="rId32" Type="http://schemas.openxmlformats.org/officeDocument/2006/relationships/hyperlink" Target="https://www.ncbi.nlm.nih.gov/nuccore/CM000678.2" TargetMode="External" /><Relationship Id="rId33" Type="http://schemas.openxmlformats.org/officeDocument/2006/relationships/hyperlink" Target="https://www.ncbi.nlm.nih.gov/nuccore/NC_000017.11" TargetMode="External" /><Relationship Id="rId34" Type="http://schemas.openxmlformats.org/officeDocument/2006/relationships/hyperlink" Target="https://www.ncbi.nlm.nih.gov/nuccore/CM000679.2" TargetMode="External" /><Relationship Id="rId35" Type="http://schemas.openxmlformats.org/officeDocument/2006/relationships/hyperlink" Target="https://www.ncbi.nlm.nih.gov/nuccore/NC_000018.10" TargetMode="External" /><Relationship Id="rId36" Type="http://schemas.openxmlformats.org/officeDocument/2006/relationships/hyperlink" Target="https://www.ncbi.nlm.nih.gov/nuccore/CM000680.2" TargetMode="External" /><Relationship Id="rId37" Type="http://schemas.openxmlformats.org/officeDocument/2006/relationships/hyperlink" Target="https://www.ncbi.nlm.nih.gov/nuccore/NC_000019.10" TargetMode="External" /><Relationship Id="rId38" Type="http://schemas.openxmlformats.org/officeDocument/2006/relationships/hyperlink" Target="https://www.ncbi.nlm.nih.gov/nuccore/CM000681.2" TargetMode="External" /><Relationship Id="rId39" Type="http://schemas.openxmlformats.org/officeDocument/2006/relationships/hyperlink" Target="https://www.ncbi.nlm.nih.gov/nuccore/NC_000020.11" TargetMode="External" /><Relationship Id="rId40" Type="http://schemas.openxmlformats.org/officeDocument/2006/relationships/hyperlink" Target="https://www.ncbi.nlm.nih.gov/nuccore/CM000682.2" TargetMode="External" /><Relationship Id="rId41" Type="http://schemas.openxmlformats.org/officeDocument/2006/relationships/hyperlink" Target="https://www.ncbi.nlm.nih.gov/nuccore/NC_000021.9" TargetMode="External" /><Relationship Id="rId42" Type="http://schemas.openxmlformats.org/officeDocument/2006/relationships/hyperlink" Target="https://www.ncbi.nlm.nih.gov/nuccore/CM000683.2" TargetMode="External" /><Relationship Id="rId43" Type="http://schemas.openxmlformats.org/officeDocument/2006/relationships/hyperlink" Target="https://www.ncbi.nlm.nih.gov/nuccore/NC_000022.11" TargetMode="External" /><Relationship Id="rId44" Type="http://schemas.openxmlformats.org/officeDocument/2006/relationships/hyperlink" Target="https://www.ncbi.nlm.nih.gov/nuccore/CM000684.2" TargetMode="External" /><Relationship Id="rId45" Type="http://schemas.openxmlformats.org/officeDocument/2006/relationships/hyperlink" Target="https://www.ncbi.nlm.nih.gov/nuccore/NC_000023.11" TargetMode="External" /><Relationship Id="rId46" Type="http://schemas.openxmlformats.org/officeDocument/2006/relationships/hyperlink" Target="https://www.ncbi.nlm.nih.gov/nuccore/CM000685.2" TargetMode="External" /><Relationship Id="rId47" Type="http://schemas.openxmlformats.org/officeDocument/2006/relationships/hyperlink" Target="https://www.ncbi.nlm.nih.gov/nuccore/NC_000024.10" TargetMode="External" /><Relationship Id="rId48" Type="http://schemas.openxmlformats.org/officeDocument/2006/relationships/hyperlink" Target="https://www.ncbi.nlm.nih.gov/nuccore/CM000686.2" TargetMode="External" /><Relationship Id="rId49" Type="http://schemas.openxmlformats.org/officeDocument/2006/relationships/hyperlink" Target="https://www.ncbi.nlm.nih.gov/nuccore/NC_012920.1" TargetMode="External" /><Relationship Id="rId50" Type="http://schemas.openxmlformats.org/officeDocument/2006/relationships/hyperlink" Target="https://www.ncbi.nlm.nih.gov/nuccore/J01415.2" TargetMode="External" /><Relationship Id="rId51" Type="http://schemas.openxmlformats.org/officeDocument/2006/relationships/hyperlink" Target="https://www.ncbi.nlm.nih.gov/nuccore/" TargetMode="External" /><Relationship Id="rId52" Type="http://schemas.openxmlformats.org/officeDocument/2006/relationships/hyperlink" Target="https://www.ncbi.nlm.nih.gov/genome/proteins/51?genome_assembly_id=322645&amp;gi=-1"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dnagenotek.com/US/pdf/PD-WP-011.pdf"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ncbi.nlm.nih.gov/pmc/articles/PMC3783090/"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n.wikipedia.org/wiki/Buffy_coat" TargetMode="External" /><Relationship Id="rId2" Type="http://schemas.openxmlformats.org/officeDocument/2006/relationships/hyperlink" Target="http://molbiol.ru/appendix/02_03.html#a4" TargetMode="External" /><Relationship Id="rId3" Type="http://schemas.openxmlformats.org/officeDocument/2006/relationships/hyperlink" Target="https://www.neb.com/tools-and-resources/usage-guidelines/nucleic-acid-data" TargetMode="External" /><Relationship Id="rId4" Type="http://schemas.openxmlformats.org/officeDocument/2006/relationships/hyperlink" Target="https://www.thermofisher.com/ru/ru/home/references/ambion-tech-support/rna-tools-and-calculators/dna-and-rna-molecular-weights-and-conversions.html" TargetMode="External" /><Relationship Id="rId5" Type="http://schemas.openxmlformats.org/officeDocument/2006/relationships/hyperlink" Target="https://bitesizebio.com/20669/how-to-calculate-the-number-of-molecules-in-any-piece-of-dna/" TargetMode="External" /><Relationship Id="rId6" Type="http://schemas.openxmlformats.org/officeDocument/2006/relationships/hyperlink" Target="https://gc.nci.nih.gov/Sequence%20analysis/Constants%20from%20Eppendorf.html" TargetMode="External" /><Relationship Id="rId7" Type="http://schemas.openxmlformats.org/officeDocument/2006/relationships/hyperlink" Target="https://gc.nci.nih.gov/Sequence%20analysis/Constants%20from%20Eppendorf.html" TargetMode="External" /><Relationship Id="rId8" Type="http://schemas.openxmlformats.org/officeDocument/2006/relationships/hyperlink" Target="https://www.ncbi.nlm.nih.gov/nuccore/NC_000913.3" TargetMode="External" /><Relationship Id="rId9" Type="http://schemas.openxmlformats.org/officeDocument/2006/relationships/comments" Target="../comments7.xml" /><Relationship Id="rId10" Type="http://schemas.openxmlformats.org/officeDocument/2006/relationships/vmlDrawing" Target="../drawings/vmlDrawing7.v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cbi.nlm.nih.gov/bioproject/PRJNA208062" TargetMode="External" /><Relationship Id="rId2" Type="http://schemas.openxmlformats.org/officeDocument/2006/relationships/hyperlink" Target="https://www.ncbi.nlm.nih.gov/sra/?term=SRR896662" TargetMode="External" /><Relationship Id="rId3" Type="http://schemas.openxmlformats.org/officeDocument/2006/relationships/hyperlink" Target="https://www.ncbi.nlm.nih.gov/sra/SRX301233%5baccn%5d" TargetMode="External" /><Relationship Id="rId4" Type="http://schemas.openxmlformats.org/officeDocument/2006/relationships/comments" Target="../comments8.xml" /><Relationship Id="rId5" Type="http://schemas.openxmlformats.org/officeDocument/2006/relationships/vmlDrawing" Target="../drawings/vmlDrawing8.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ncbi.nlm.nih.gov/Taxonomy/Browser/wwwtax.cgi?mode=Tree&amp;id=1224&amp;lvl=3&amp;lin=f&amp;keep=1&amp;srchmode=1&amp;unlock" TargetMode="External" /><Relationship Id="rId2" Type="http://schemas.openxmlformats.org/officeDocument/2006/relationships/hyperlink" Target="https://www.ncbi.nlm.nih.gov/Taxonomy/Browser/wwwtax.cgi?mode=Tree&amp;id=1224&amp;lvl=3&amp;lin=f&amp;keep=1&amp;srchmode=1&amp;unlock" TargetMode="External" /><Relationship Id="rId3" Type="http://schemas.openxmlformats.org/officeDocument/2006/relationships/hyperlink" Target="https://www.thermofisher.com/order/catalog/product/Q32851" TargetMode="External" /><Relationship Id="rId4" Type="http://schemas.openxmlformats.org/officeDocument/2006/relationships/hyperlink" Target="http://www.molzym.com/index.php/products/dna-isolation-products/pathogen-dna-molysis/kits-molysis" TargetMode="External" /><Relationship Id="rId5" Type="http://schemas.openxmlformats.org/officeDocument/2006/relationships/hyperlink" Target="http://www.dnagenotek.com/US/pdf/PD-WP-011.pdf" TargetMode="External" /><Relationship Id="rId6" Type="http://schemas.openxmlformats.org/officeDocument/2006/relationships/comments" Target="../comments9.xml" /><Relationship Id="rId7" Type="http://schemas.openxmlformats.org/officeDocument/2006/relationships/vmlDrawing" Target="../drawings/vmlDrawing9.v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4"/>
  <sheetViews>
    <sheetView workbookViewId="0" topLeftCell="A2">
      <selection activeCell="A1" sqref="A1"/>
    </sheetView>
  </sheetViews>
  <sheetFormatPr defaultColWidth="9.00390625" defaultRowHeight="12.75"/>
  <cols>
    <col min="1" max="1" width="3.875" style="0" customWidth="1"/>
    <col min="2" max="2" width="6.25390625" style="0" customWidth="1"/>
    <col min="3" max="3" width="8.50390625" style="0" customWidth="1"/>
    <col min="4" max="4" width="11.50390625" style="2" customWidth="1"/>
    <col min="5" max="5" width="9.50390625" style="6" bestFit="1" customWidth="1"/>
    <col min="6" max="6" width="8.875" style="23" customWidth="1"/>
    <col min="7" max="7" width="7.625" style="0" customWidth="1"/>
    <col min="8" max="8" width="10.25390625" style="0" customWidth="1"/>
    <col min="9" max="9" width="16.125" style="0" customWidth="1"/>
  </cols>
  <sheetData>
    <row r="1" spans="7:9" ht="15" customHeight="1" hidden="1">
      <c r="G1" t="s">
        <v>4</v>
      </c>
      <c r="H1" t="s">
        <v>54</v>
      </c>
      <c r="I1" t="s">
        <v>329</v>
      </c>
    </row>
    <row r="2" ht="12.75">
      <c r="C2" t="s">
        <v>11</v>
      </c>
    </row>
    <row r="3" spans="2:4" ht="12.75">
      <c r="B3" s="115" t="s">
        <v>179</v>
      </c>
      <c r="C3" s="90">
        <v>0.45</v>
      </c>
      <c r="D3" s="2" t="s">
        <v>180</v>
      </c>
    </row>
    <row r="4" spans="2:4" ht="12.75">
      <c r="B4" s="115" t="s">
        <v>178</v>
      </c>
      <c r="C4" s="53">
        <v>0.85</v>
      </c>
      <c r="D4" s="2" t="s">
        <v>181</v>
      </c>
    </row>
    <row r="5" spans="2:8" ht="12.75">
      <c r="B5" s="37" t="s">
        <v>1</v>
      </c>
      <c r="C5" s="53">
        <f>0.12</f>
        <v>0.12</v>
      </c>
      <c r="D5" s="56" t="s">
        <v>2</v>
      </c>
      <c r="E5" s="57" t="s">
        <v>20</v>
      </c>
      <c r="F5" s="58"/>
      <c r="G5" s="59"/>
      <c r="H5" s="59"/>
    </row>
    <row r="6" spans="2:8" ht="12.75">
      <c r="B6" s="37" t="s">
        <v>9</v>
      </c>
      <c r="C6" s="54">
        <f>E72</f>
        <v>0.12</v>
      </c>
      <c r="D6" s="56" t="s">
        <v>10</v>
      </c>
      <c r="E6" s="57"/>
      <c r="F6" s="58"/>
      <c r="G6" s="59"/>
      <c r="H6" s="59"/>
    </row>
    <row r="7" spans="2:8" ht="12.75">
      <c r="B7" s="37" t="s">
        <v>19</v>
      </c>
      <c r="C7" s="55">
        <f>B113*C5/D113</f>
        <v>0.018899033937714808</v>
      </c>
      <c r="D7" s="56" t="s">
        <v>6</v>
      </c>
      <c r="E7" s="57" t="s">
        <v>21</v>
      </c>
      <c r="F7" s="58"/>
      <c r="G7" s="59"/>
      <c r="H7" s="59"/>
    </row>
    <row r="8" spans="2:8" ht="12.75">
      <c r="B8" s="37" t="s">
        <v>19</v>
      </c>
      <c r="C8" s="55">
        <f>G113/D113</f>
        <v>0.01889903393771481</v>
      </c>
      <c r="D8" s="56" t="s">
        <v>7</v>
      </c>
      <c r="E8" s="57" t="s">
        <v>26</v>
      </c>
      <c r="F8" s="58"/>
      <c r="G8" s="59"/>
      <c r="H8" s="59"/>
    </row>
    <row r="9" spans="2:8" ht="10.5" customHeight="1">
      <c r="B9" s="67"/>
      <c r="C9" s="68"/>
      <c r="D9" s="56"/>
      <c r="E9" s="57"/>
      <c r="F9" s="58"/>
      <c r="G9" s="59"/>
      <c r="H9" s="59"/>
    </row>
    <row r="10" spans="1:9" ht="27" customHeight="1">
      <c r="A10" s="115"/>
      <c r="B10" s="699" t="s">
        <v>87</v>
      </c>
      <c r="C10" s="699"/>
      <c r="D10" s="699"/>
      <c r="E10" s="7"/>
      <c r="F10" s="117"/>
      <c r="G10" s="698" t="s">
        <v>86</v>
      </c>
      <c r="H10" s="698"/>
      <c r="I10" s="115"/>
    </row>
    <row r="11" spans="1:9" ht="12.75">
      <c r="A11" s="115"/>
      <c r="B11" s="116"/>
      <c r="C11" s="115"/>
      <c r="D11" s="34" t="s">
        <v>15</v>
      </c>
      <c r="E11" s="7"/>
      <c r="F11" s="118" t="s">
        <v>3</v>
      </c>
      <c r="G11" s="698"/>
      <c r="H11" s="698"/>
      <c r="I11" s="120"/>
    </row>
    <row r="12" spans="1:9" ht="12.75">
      <c r="A12" s="95" t="s">
        <v>18</v>
      </c>
      <c r="B12" s="96" t="s">
        <v>14</v>
      </c>
      <c r="C12" s="97" t="s">
        <v>13</v>
      </c>
      <c r="D12" s="98" t="s">
        <v>16</v>
      </c>
      <c r="E12" s="99" t="s">
        <v>17</v>
      </c>
      <c r="F12" s="113"/>
      <c r="G12" s="114" t="s">
        <v>12</v>
      </c>
      <c r="H12" s="449" t="s">
        <v>13</v>
      </c>
      <c r="I12" s="97"/>
    </row>
    <row r="13" spans="1:9" ht="12.75">
      <c r="A13" s="19">
        <v>11</v>
      </c>
      <c r="B13" s="22">
        <f>A13*C$3*ABS(ROUND(COS(A13)*10,0))</f>
        <v>0</v>
      </c>
      <c r="C13" s="11">
        <f>C$4*ROUND(ABS(SIN(A13+5)-1)*1000,0)</f>
        <v>1094.8</v>
      </c>
      <c r="D13" s="3">
        <f aca="true" t="shared" si="0" ref="D13:D44">C13+B13*C$5</f>
        <v>1094.8</v>
      </c>
      <c r="E13" s="49">
        <f aca="true" t="shared" si="1" ref="E13:E44">IF(B13&gt;0,D13/B13,10000)</f>
        <v>10000</v>
      </c>
      <c r="F13" s="24" t="str">
        <f aca="true" t="shared" si="2" ref="F13:F44">IF(E13=10000,G$1,IF(E13=C$6,H$1,I$1))</f>
        <v>R</v>
      </c>
      <c r="G13" s="13">
        <f aca="true" t="shared" si="3" ref="G13:G44">B13*C$6</f>
        <v>0</v>
      </c>
      <c r="H13" s="14">
        <f aca="true" t="shared" si="4" ref="H13:H44">D13-G13</f>
        <v>1094.8</v>
      </c>
      <c r="I13" s="11"/>
    </row>
    <row r="14" spans="1:9" ht="12.75">
      <c r="A14" s="19">
        <v>33</v>
      </c>
      <c r="B14" s="22">
        <f aca="true" t="shared" si="5" ref="B14:B77">A14*C$3*ABS(ROUND(COS(A14)*10,0))</f>
        <v>0</v>
      </c>
      <c r="C14" s="11">
        <f aca="true" t="shared" si="6" ref="C14:C76">C$4*ROUND(ABS(SIN(A14+5)-1)*1000,0)</f>
        <v>598.4</v>
      </c>
      <c r="D14" s="3">
        <f t="shared" si="0"/>
        <v>598.4</v>
      </c>
      <c r="E14" s="49">
        <f t="shared" si="1"/>
        <v>10000</v>
      </c>
      <c r="F14" s="24" t="str">
        <f t="shared" si="2"/>
        <v>R</v>
      </c>
      <c r="G14" s="13">
        <f t="shared" si="3"/>
        <v>0</v>
      </c>
      <c r="H14" s="14">
        <f t="shared" si="4"/>
        <v>598.4</v>
      </c>
      <c r="I14" s="11"/>
    </row>
    <row r="15" spans="1:9" ht="12.75">
      <c r="A15" s="19">
        <v>55</v>
      </c>
      <c r="B15" s="22">
        <f t="shared" si="5"/>
        <v>0</v>
      </c>
      <c r="C15" s="11">
        <f t="shared" si="6"/>
        <v>1109.25</v>
      </c>
      <c r="D15" s="3">
        <f t="shared" si="0"/>
        <v>1109.25</v>
      </c>
      <c r="E15" s="49">
        <f t="shared" si="1"/>
        <v>10000</v>
      </c>
      <c r="F15" s="24" t="str">
        <f t="shared" si="2"/>
        <v>R</v>
      </c>
      <c r="G15" s="13">
        <f t="shared" si="3"/>
        <v>0</v>
      </c>
      <c r="H15" s="14">
        <f t="shared" si="4"/>
        <v>1109.25</v>
      </c>
      <c r="I15" s="11"/>
    </row>
    <row r="16" spans="1:9" ht="12.75">
      <c r="A16" s="19">
        <v>77</v>
      </c>
      <c r="B16" s="22">
        <f t="shared" si="5"/>
        <v>0</v>
      </c>
      <c r="C16" s="11">
        <f t="shared" si="6"/>
        <v>583.9499999999999</v>
      </c>
      <c r="D16" s="3">
        <f t="shared" si="0"/>
        <v>583.9499999999999</v>
      </c>
      <c r="E16" s="49">
        <f t="shared" si="1"/>
        <v>10000</v>
      </c>
      <c r="F16" s="24" t="str">
        <f t="shared" si="2"/>
        <v>R</v>
      </c>
      <c r="G16" s="13">
        <f t="shared" si="3"/>
        <v>0</v>
      </c>
      <c r="H16" s="14">
        <f t="shared" si="4"/>
        <v>583.9499999999999</v>
      </c>
      <c r="I16" s="11"/>
    </row>
    <row r="17" spans="1:9" ht="12.75">
      <c r="A17" s="19">
        <v>99</v>
      </c>
      <c r="B17" s="22">
        <f t="shared" si="5"/>
        <v>0</v>
      </c>
      <c r="C17" s="11">
        <f t="shared" si="6"/>
        <v>1123.7</v>
      </c>
      <c r="D17" s="3">
        <f t="shared" si="0"/>
        <v>1123.7</v>
      </c>
      <c r="E17" s="49">
        <f t="shared" si="1"/>
        <v>10000</v>
      </c>
      <c r="F17" s="24" t="str">
        <f t="shared" si="2"/>
        <v>R</v>
      </c>
      <c r="G17" s="13">
        <f t="shared" si="3"/>
        <v>0</v>
      </c>
      <c r="H17" s="14">
        <f t="shared" si="4"/>
        <v>1123.7</v>
      </c>
      <c r="I17" s="11"/>
    </row>
    <row r="18" spans="1:9" ht="12.75">
      <c r="A18" s="19">
        <v>14</v>
      </c>
      <c r="B18" s="22">
        <v>0</v>
      </c>
      <c r="C18" s="11">
        <f t="shared" si="6"/>
        <v>722.5</v>
      </c>
      <c r="D18" s="3">
        <f t="shared" si="0"/>
        <v>722.5</v>
      </c>
      <c r="E18" s="49">
        <f t="shared" si="1"/>
        <v>10000</v>
      </c>
      <c r="F18" s="24" t="str">
        <f t="shared" si="2"/>
        <v>R</v>
      </c>
      <c r="G18" s="13">
        <f t="shared" si="3"/>
        <v>0</v>
      </c>
      <c r="H18" s="14">
        <f t="shared" si="4"/>
        <v>722.5</v>
      </c>
      <c r="I18" s="11"/>
    </row>
    <row r="19" spans="1:9" ht="12.75">
      <c r="A19" s="19">
        <v>30</v>
      </c>
      <c r="B19" s="22">
        <v>0</v>
      </c>
      <c r="C19" s="11">
        <f t="shared" si="6"/>
        <v>1213.8</v>
      </c>
      <c r="D19" s="3">
        <f t="shared" si="0"/>
        <v>1213.8</v>
      </c>
      <c r="E19" s="49">
        <f t="shared" si="1"/>
        <v>10000</v>
      </c>
      <c r="F19" s="24" t="str">
        <f t="shared" si="2"/>
        <v>R</v>
      </c>
      <c r="G19" s="13">
        <f t="shared" si="3"/>
        <v>0</v>
      </c>
      <c r="H19" s="14">
        <f t="shared" si="4"/>
        <v>1213.8</v>
      </c>
      <c r="I19" s="11"/>
    </row>
    <row r="20" spans="1:9" ht="12.75">
      <c r="A20" s="19">
        <v>13</v>
      </c>
      <c r="B20" s="22">
        <v>0</v>
      </c>
      <c r="C20" s="11">
        <f t="shared" si="6"/>
        <v>1488.35</v>
      </c>
      <c r="D20" s="3">
        <f t="shared" si="0"/>
        <v>1488.35</v>
      </c>
      <c r="E20" s="49">
        <f t="shared" si="1"/>
        <v>10000</v>
      </c>
      <c r="F20" s="24" t="str">
        <f t="shared" si="2"/>
        <v>R</v>
      </c>
      <c r="G20" s="13">
        <f t="shared" si="3"/>
        <v>0</v>
      </c>
      <c r="H20" s="14">
        <f t="shared" si="4"/>
        <v>1488.35</v>
      </c>
      <c r="I20" s="11"/>
    </row>
    <row r="21" spans="1:9" ht="12.75">
      <c r="A21" s="19">
        <v>96</v>
      </c>
      <c r="B21" s="22">
        <v>0</v>
      </c>
      <c r="C21" s="11">
        <f t="shared" si="6"/>
        <v>465.8</v>
      </c>
      <c r="D21" s="3">
        <f t="shared" si="0"/>
        <v>465.8</v>
      </c>
      <c r="E21" s="49">
        <f t="shared" si="1"/>
        <v>10000</v>
      </c>
      <c r="F21" s="24" t="str">
        <f t="shared" si="2"/>
        <v>R</v>
      </c>
      <c r="G21" s="13">
        <f t="shared" si="3"/>
        <v>0</v>
      </c>
      <c r="H21" s="14">
        <f t="shared" si="4"/>
        <v>465.8</v>
      </c>
      <c r="I21" s="11"/>
    </row>
    <row r="22" spans="1:9" ht="12.75">
      <c r="A22" s="19">
        <v>37</v>
      </c>
      <c r="B22" s="22">
        <v>0</v>
      </c>
      <c r="C22" s="11">
        <f t="shared" si="6"/>
        <v>1629.45</v>
      </c>
      <c r="D22" s="3">
        <f t="shared" si="0"/>
        <v>1629.45</v>
      </c>
      <c r="E22" s="49">
        <f t="shared" si="1"/>
        <v>10000</v>
      </c>
      <c r="F22" s="24" t="str">
        <f t="shared" si="2"/>
        <v>R</v>
      </c>
      <c r="G22" s="13">
        <f t="shared" si="3"/>
        <v>0</v>
      </c>
      <c r="H22" s="14">
        <f t="shared" si="4"/>
        <v>1629.45</v>
      </c>
      <c r="I22" s="11"/>
    </row>
    <row r="23" spans="1:9" ht="12.75">
      <c r="A23" s="19">
        <v>70</v>
      </c>
      <c r="B23" s="22">
        <v>0</v>
      </c>
      <c r="C23" s="11">
        <f t="shared" si="6"/>
        <v>1179.8</v>
      </c>
      <c r="D23" s="3">
        <f t="shared" si="0"/>
        <v>1179.8</v>
      </c>
      <c r="E23" s="49">
        <f t="shared" si="1"/>
        <v>10000</v>
      </c>
      <c r="F23" s="24" t="str">
        <f t="shared" si="2"/>
        <v>R</v>
      </c>
      <c r="G23" s="13">
        <f t="shared" si="3"/>
        <v>0</v>
      </c>
      <c r="H23" s="14">
        <f t="shared" si="4"/>
        <v>1179.8</v>
      </c>
      <c r="I23" s="11"/>
    </row>
    <row r="24" spans="1:9" ht="12.75">
      <c r="A24" s="19">
        <v>73</v>
      </c>
      <c r="B24" s="22">
        <v>0</v>
      </c>
      <c r="C24" s="11">
        <f t="shared" si="6"/>
        <v>413.09999999999997</v>
      </c>
      <c r="D24" s="3">
        <f t="shared" si="0"/>
        <v>413.09999999999997</v>
      </c>
      <c r="E24" s="49">
        <f t="shared" si="1"/>
        <v>10000</v>
      </c>
      <c r="F24" s="24" t="str">
        <f t="shared" si="2"/>
        <v>R</v>
      </c>
      <c r="G24" s="13">
        <f t="shared" si="3"/>
        <v>0</v>
      </c>
      <c r="H24" s="14">
        <f t="shared" si="4"/>
        <v>413.09999999999997</v>
      </c>
      <c r="I24" s="11"/>
    </row>
    <row r="25" spans="1:9" ht="12.75">
      <c r="A25" s="19">
        <v>81</v>
      </c>
      <c r="B25" s="22">
        <v>0</v>
      </c>
      <c r="C25" s="11">
        <f t="shared" si="6"/>
        <v>1634.55</v>
      </c>
      <c r="D25" s="3">
        <f t="shared" si="0"/>
        <v>1634.55</v>
      </c>
      <c r="E25" s="49">
        <f t="shared" si="1"/>
        <v>10000</v>
      </c>
      <c r="F25" s="24" t="str">
        <f t="shared" si="2"/>
        <v>R</v>
      </c>
      <c r="G25" s="13">
        <f t="shared" si="3"/>
        <v>0</v>
      </c>
      <c r="H25" s="14">
        <f t="shared" si="4"/>
        <v>1634.55</v>
      </c>
      <c r="I25" s="11"/>
    </row>
    <row r="26" spans="1:9" ht="12.75">
      <c r="A26" s="19">
        <v>98</v>
      </c>
      <c r="B26" s="22">
        <v>0</v>
      </c>
      <c r="C26" s="11">
        <f t="shared" si="6"/>
        <v>320.45</v>
      </c>
      <c r="D26" s="3">
        <f t="shared" si="0"/>
        <v>320.45</v>
      </c>
      <c r="E26" s="49">
        <f t="shared" si="1"/>
        <v>10000</v>
      </c>
      <c r="F26" s="24" t="str">
        <f t="shared" si="2"/>
        <v>R</v>
      </c>
      <c r="G26" s="13">
        <f t="shared" si="3"/>
        <v>0</v>
      </c>
      <c r="H26" s="14">
        <f t="shared" si="4"/>
        <v>320.45</v>
      </c>
      <c r="I26" s="11"/>
    </row>
    <row r="27" spans="1:9" ht="12.75">
      <c r="A27" s="19">
        <v>1</v>
      </c>
      <c r="B27" s="22">
        <f t="shared" si="5"/>
        <v>2.25</v>
      </c>
      <c r="C27" s="11">
        <f t="shared" si="6"/>
        <v>1087.1499999999999</v>
      </c>
      <c r="D27" s="3">
        <f t="shared" si="0"/>
        <v>1087.4199999999998</v>
      </c>
      <c r="E27" s="7">
        <f t="shared" si="1"/>
        <v>483.2977777777777</v>
      </c>
      <c r="F27" s="25" t="str">
        <f t="shared" si="2"/>
        <v>RuN</v>
      </c>
      <c r="G27" s="13">
        <f t="shared" si="3"/>
        <v>0.27</v>
      </c>
      <c r="H27" s="14">
        <f t="shared" si="4"/>
        <v>1087.1499999999999</v>
      </c>
      <c r="I27" s="11"/>
    </row>
    <row r="28" spans="1:9" ht="12.75">
      <c r="A28" s="19">
        <v>2</v>
      </c>
      <c r="B28" s="22">
        <f t="shared" si="5"/>
        <v>3.6</v>
      </c>
      <c r="C28" s="11">
        <f t="shared" si="6"/>
        <v>291.55</v>
      </c>
      <c r="D28" s="3">
        <f t="shared" si="0"/>
        <v>291.982</v>
      </c>
      <c r="E28" s="7">
        <f t="shared" si="1"/>
        <v>81.10611111111112</v>
      </c>
      <c r="F28" s="25" t="str">
        <f t="shared" si="2"/>
        <v>RuN</v>
      </c>
      <c r="G28" s="13">
        <f t="shared" si="3"/>
        <v>0.432</v>
      </c>
      <c r="H28" s="14">
        <f t="shared" si="4"/>
        <v>291.55</v>
      </c>
      <c r="I28" s="11"/>
    </row>
    <row r="29" spans="1:9" ht="12.75">
      <c r="A29" s="19">
        <v>8</v>
      </c>
      <c r="B29" s="22">
        <f t="shared" si="5"/>
        <v>3.6</v>
      </c>
      <c r="C29" s="11">
        <f t="shared" si="6"/>
        <v>493</v>
      </c>
      <c r="D29" s="3">
        <f t="shared" si="0"/>
        <v>493.432</v>
      </c>
      <c r="E29" s="7">
        <f t="shared" si="1"/>
        <v>137.06444444444443</v>
      </c>
      <c r="F29" s="25" t="str">
        <f t="shared" si="2"/>
        <v>RuN</v>
      </c>
      <c r="G29" s="13">
        <f t="shared" si="3"/>
        <v>0.432</v>
      </c>
      <c r="H29" s="14">
        <f t="shared" si="4"/>
        <v>493</v>
      </c>
      <c r="I29" s="11"/>
    </row>
    <row r="30" spans="1:9" ht="12.75">
      <c r="A30" s="19">
        <v>5</v>
      </c>
      <c r="B30" s="22">
        <f t="shared" si="5"/>
        <v>6.75</v>
      </c>
      <c r="C30" s="11">
        <f t="shared" si="6"/>
        <v>1312.3999999999999</v>
      </c>
      <c r="D30" s="3">
        <f t="shared" si="0"/>
        <v>1313.2099999999998</v>
      </c>
      <c r="E30" s="7">
        <f t="shared" si="1"/>
        <v>194.5496296296296</v>
      </c>
      <c r="F30" s="25" t="str">
        <f t="shared" si="2"/>
        <v>RuN</v>
      </c>
      <c r="G30" s="13">
        <f t="shared" si="3"/>
        <v>0.8099999999999999</v>
      </c>
      <c r="H30" s="14">
        <f t="shared" si="4"/>
        <v>1312.3999999999999</v>
      </c>
      <c r="I30" s="11"/>
    </row>
    <row r="31" spans="1:9" ht="12.75">
      <c r="A31" s="19">
        <v>4</v>
      </c>
      <c r="B31" s="22">
        <f t="shared" si="5"/>
        <v>12.6</v>
      </c>
      <c r="C31" s="11">
        <f t="shared" si="6"/>
        <v>499.8</v>
      </c>
      <c r="D31" s="3">
        <f t="shared" si="0"/>
        <v>501.312</v>
      </c>
      <c r="E31" s="7">
        <f t="shared" si="1"/>
        <v>39.78666666666667</v>
      </c>
      <c r="F31" s="25" t="str">
        <f t="shared" si="2"/>
        <v>RuN</v>
      </c>
      <c r="G31" s="13">
        <f t="shared" si="3"/>
        <v>1.512</v>
      </c>
      <c r="H31" s="14">
        <f t="shared" si="4"/>
        <v>499.8</v>
      </c>
      <c r="I31" s="11"/>
    </row>
    <row r="32" spans="1:9" ht="12.75">
      <c r="A32" s="19">
        <v>3</v>
      </c>
      <c r="B32" s="22">
        <f t="shared" si="5"/>
        <v>13.5</v>
      </c>
      <c r="C32" s="11">
        <f t="shared" si="6"/>
        <v>9.35</v>
      </c>
      <c r="D32" s="3">
        <f t="shared" si="0"/>
        <v>10.969999999999999</v>
      </c>
      <c r="E32" s="7">
        <f t="shared" si="1"/>
        <v>0.8125925925925925</v>
      </c>
      <c r="F32" s="25" t="str">
        <f t="shared" si="2"/>
        <v>RuN</v>
      </c>
      <c r="G32" s="13">
        <f t="shared" si="3"/>
        <v>1.6199999999999999</v>
      </c>
      <c r="H32" s="14">
        <f t="shared" si="4"/>
        <v>9.35</v>
      </c>
      <c r="I32" s="11"/>
    </row>
    <row r="33" spans="1:9" ht="12.75">
      <c r="A33" s="38">
        <v>36</v>
      </c>
      <c r="B33" s="22">
        <f t="shared" si="5"/>
        <v>16.2</v>
      </c>
      <c r="C33" s="11">
        <v>0</v>
      </c>
      <c r="D33" s="5">
        <f t="shared" si="0"/>
        <v>1.944</v>
      </c>
      <c r="E33" s="9">
        <f t="shared" si="1"/>
        <v>0.12</v>
      </c>
      <c r="F33" s="39" t="str">
        <f t="shared" si="2"/>
        <v>N</v>
      </c>
      <c r="G33" s="15">
        <f t="shared" si="3"/>
        <v>1.944</v>
      </c>
      <c r="H33" s="16">
        <f t="shared" si="4"/>
        <v>0</v>
      </c>
      <c r="I33" s="12" t="s">
        <v>5</v>
      </c>
    </row>
    <row r="34" spans="1:9" ht="12.75">
      <c r="A34" s="19">
        <v>17</v>
      </c>
      <c r="B34" s="22">
        <f t="shared" si="5"/>
        <v>22.950000000000003</v>
      </c>
      <c r="C34" s="11">
        <f t="shared" si="6"/>
        <v>857.65</v>
      </c>
      <c r="D34" s="3">
        <f t="shared" si="0"/>
        <v>860.404</v>
      </c>
      <c r="E34" s="7">
        <f t="shared" si="1"/>
        <v>37.490370370370364</v>
      </c>
      <c r="F34" s="25" t="str">
        <f t="shared" si="2"/>
        <v>RuN</v>
      </c>
      <c r="G34" s="13">
        <f t="shared" si="3"/>
        <v>2.7540000000000004</v>
      </c>
      <c r="H34" s="14">
        <f t="shared" si="4"/>
        <v>857.65</v>
      </c>
      <c r="I34" s="11"/>
    </row>
    <row r="35" spans="1:9" ht="12.75">
      <c r="A35" s="19">
        <v>7</v>
      </c>
      <c r="B35" s="22">
        <f t="shared" si="5"/>
        <v>25.2</v>
      </c>
      <c r="C35" s="11">
        <f t="shared" si="6"/>
        <v>1306.45</v>
      </c>
      <c r="D35" s="3">
        <f t="shared" si="0"/>
        <v>1309.474</v>
      </c>
      <c r="E35" s="7">
        <f t="shared" si="1"/>
        <v>51.963253968253966</v>
      </c>
      <c r="F35" s="25" t="str">
        <f t="shared" si="2"/>
        <v>RuN</v>
      </c>
      <c r="G35" s="13">
        <f t="shared" si="3"/>
        <v>3.024</v>
      </c>
      <c r="H35" s="14">
        <f t="shared" si="4"/>
        <v>1306.45</v>
      </c>
      <c r="I35" s="11"/>
    </row>
    <row r="36" spans="1:9" ht="12.75">
      <c r="A36" s="19">
        <v>58</v>
      </c>
      <c r="B36" s="22">
        <f t="shared" si="5"/>
        <v>26.1</v>
      </c>
      <c r="C36" s="11">
        <f t="shared" si="6"/>
        <v>708.05</v>
      </c>
      <c r="D36" s="3">
        <f t="shared" si="0"/>
        <v>711.1819999999999</v>
      </c>
      <c r="E36" s="7">
        <f t="shared" si="1"/>
        <v>27.24835249042145</v>
      </c>
      <c r="F36" s="25" t="str">
        <f t="shared" si="2"/>
        <v>RuN</v>
      </c>
      <c r="G36" s="13">
        <f t="shared" si="3"/>
        <v>3.132</v>
      </c>
      <c r="H36" s="14">
        <f t="shared" si="4"/>
        <v>708.05</v>
      </c>
      <c r="I36" s="11"/>
    </row>
    <row r="37" spans="1:9" ht="12.75">
      <c r="A37" s="19">
        <v>6</v>
      </c>
      <c r="B37" s="22">
        <f t="shared" si="5"/>
        <v>27</v>
      </c>
      <c r="C37" s="11">
        <f t="shared" si="6"/>
        <v>1700</v>
      </c>
      <c r="D37" s="3">
        <f t="shared" si="0"/>
        <v>1703.24</v>
      </c>
      <c r="E37" s="7">
        <f t="shared" si="1"/>
        <v>63.08296296296297</v>
      </c>
      <c r="F37" s="25" t="str">
        <f t="shared" si="2"/>
        <v>RuN</v>
      </c>
      <c r="G37" s="13">
        <f t="shared" si="3"/>
        <v>3.2399999999999998</v>
      </c>
      <c r="H37" s="14">
        <f t="shared" si="4"/>
        <v>1700</v>
      </c>
      <c r="I37" s="11"/>
    </row>
    <row r="38" spans="1:9" ht="12.75">
      <c r="A38" s="19">
        <v>10</v>
      </c>
      <c r="B38" s="22">
        <f t="shared" si="5"/>
        <v>36</v>
      </c>
      <c r="C38" s="11">
        <f t="shared" si="6"/>
        <v>297.5</v>
      </c>
      <c r="D38" s="3">
        <f t="shared" si="0"/>
        <v>301.82</v>
      </c>
      <c r="E38" s="7">
        <f t="shared" si="1"/>
        <v>8.383888888888889</v>
      </c>
      <c r="F38" s="25" t="str">
        <f t="shared" si="2"/>
        <v>RuN</v>
      </c>
      <c r="G38" s="13">
        <f t="shared" si="3"/>
        <v>4.32</v>
      </c>
      <c r="H38" s="14">
        <f t="shared" si="4"/>
        <v>297.5</v>
      </c>
      <c r="I38" s="11"/>
    </row>
    <row r="39" spans="1:9" ht="12.75">
      <c r="A39" s="19">
        <v>20</v>
      </c>
      <c r="B39" s="22">
        <f t="shared" si="5"/>
        <v>36</v>
      </c>
      <c r="C39" s="11">
        <f t="shared" si="6"/>
        <v>962.1999999999999</v>
      </c>
      <c r="D39" s="3">
        <f t="shared" si="0"/>
        <v>966.52</v>
      </c>
      <c r="E39" s="7">
        <f t="shared" si="1"/>
        <v>26.84777777777778</v>
      </c>
      <c r="F39" s="25" t="str">
        <f t="shared" si="2"/>
        <v>RuN</v>
      </c>
      <c r="G39" s="13">
        <f t="shared" si="3"/>
        <v>4.32</v>
      </c>
      <c r="H39" s="14">
        <f t="shared" si="4"/>
        <v>962.1999999999999</v>
      </c>
      <c r="I39" s="11"/>
    </row>
    <row r="40" spans="1:9" ht="12.75">
      <c r="A40" s="19">
        <v>80</v>
      </c>
      <c r="B40" s="22">
        <f t="shared" si="5"/>
        <v>36</v>
      </c>
      <c r="C40" s="11">
        <f t="shared" si="6"/>
        <v>999.6</v>
      </c>
      <c r="D40" s="3">
        <f t="shared" si="0"/>
        <v>1003.9200000000001</v>
      </c>
      <c r="E40" s="7">
        <f t="shared" si="1"/>
        <v>27.88666666666667</v>
      </c>
      <c r="F40" s="25" t="str">
        <f t="shared" si="2"/>
        <v>RuN</v>
      </c>
      <c r="G40" s="13">
        <f t="shared" si="3"/>
        <v>4.32</v>
      </c>
      <c r="H40" s="14">
        <f t="shared" si="4"/>
        <v>999.6</v>
      </c>
      <c r="I40" s="11"/>
    </row>
    <row r="41" spans="1:9" ht="12.75">
      <c r="A41" s="19">
        <v>9</v>
      </c>
      <c r="B41" s="22">
        <f t="shared" si="5"/>
        <v>36.449999999999996</v>
      </c>
      <c r="C41" s="11">
        <f t="shared" si="6"/>
        <v>7.6499999999999995</v>
      </c>
      <c r="D41" s="3">
        <f t="shared" si="0"/>
        <v>12.024</v>
      </c>
      <c r="E41" s="7">
        <f t="shared" si="1"/>
        <v>0.3298765432098766</v>
      </c>
      <c r="F41" s="25" t="str">
        <f t="shared" si="2"/>
        <v>RuN</v>
      </c>
      <c r="G41" s="13">
        <f t="shared" si="3"/>
        <v>4.374</v>
      </c>
      <c r="H41" s="14">
        <f t="shared" si="4"/>
        <v>7.6499999999999995</v>
      </c>
      <c r="I41" s="11"/>
    </row>
    <row r="42" spans="1:9" ht="12.75">
      <c r="A42" s="38">
        <v>27</v>
      </c>
      <c r="B42" s="22">
        <f t="shared" si="5"/>
        <v>36.45</v>
      </c>
      <c r="C42" s="11">
        <v>0</v>
      </c>
      <c r="D42" s="5">
        <f t="shared" si="0"/>
        <v>4.3740000000000006</v>
      </c>
      <c r="E42" s="9">
        <f t="shared" si="1"/>
        <v>0.12000000000000001</v>
      </c>
      <c r="F42" s="39" t="str">
        <f t="shared" si="2"/>
        <v>N</v>
      </c>
      <c r="G42" s="15">
        <f t="shared" si="3"/>
        <v>4.3740000000000006</v>
      </c>
      <c r="H42" s="16">
        <f t="shared" si="4"/>
        <v>0</v>
      </c>
      <c r="I42" s="12" t="s">
        <v>5</v>
      </c>
    </row>
    <row r="43" spans="1:9" ht="12.75">
      <c r="A43" s="19">
        <v>12</v>
      </c>
      <c r="B43" s="22">
        <f t="shared" si="5"/>
        <v>43.2</v>
      </c>
      <c r="C43" s="11">
        <f t="shared" si="6"/>
        <v>1666.85</v>
      </c>
      <c r="D43" s="3">
        <f t="shared" si="0"/>
        <v>1672.0339999999999</v>
      </c>
      <c r="E43" s="7">
        <f t="shared" si="1"/>
        <v>38.70449074074074</v>
      </c>
      <c r="F43" s="25" t="str">
        <f t="shared" si="2"/>
        <v>RuN</v>
      </c>
      <c r="G43" s="13">
        <f t="shared" si="3"/>
        <v>5.184</v>
      </c>
      <c r="H43" s="14">
        <f t="shared" si="4"/>
        <v>1666.85</v>
      </c>
      <c r="I43" s="11"/>
    </row>
    <row r="44" spans="1:9" ht="12.75">
      <c r="A44" s="19">
        <v>24</v>
      </c>
      <c r="B44" s="22">
        <f t="shared" si="5"/>
        <v>43.2</v>
      </c>
      <c r="C44" s="11">
        <f t="shared" si="6"/>
        <v>1414.3999999999999</v>
      </c>
      <c r="D44" s="3">
        <f t="shared" si="0"/>
        <v>1419.5839999999998</v>
      </c>
      <c r="E44" s="7">
        <f t="shared" si="1"/>
        <v>32.86074074074074</v>
      </c>
      <c r="F44" s="25" t="str">
        <f t="shared" si="2"/>
        <v>RuN</v>
      </c>
      <c r="G44" s="13">
        <f t="shared" si="3"/>
        <v>5.184</v>
      </c>
      <c r="H44" s="14">
        <f t="shared" si="4"/>
        <v>1414.3999999999999</v>
      </c>
      <c r="I44" s="11"/>
    </row>
    <row r="45" spans="1:9" ht="12.75">
      <c r="A45" s="19">
        <v>52</v>
      </c>
      <c r="B45" s="22">
        <f t="shared" si="5"/>
        <v>46.800000000000004</v>
      </c>
      <c r="C45" s="11">
        <f t="shared" si="6"/>
        <v>479.4</v>
      </c>
      <c r="D45" s="3">
        <f aca="true" t="shared" si="7" ref="D45:D76">C45+B45*C$5</f>
        <v>485.01599999999996</v>
      </c>
      <c r="E45" s="7">
        <f aca="true" t="shared" si="8" ref="E45:E76">IF(B45&gt;0,D45/B45,10000)</f>
        <v>10.363589743589742</v>
      </c>
      <c r="F45" s="25" t="str">
        <f aca="true" t="shared" si="9" ref="F45:F76">IF(E45=10000,G$1,IF(E45=C$6,H$1,I$1))</f>
        <v>RuN</v>
      </c>
      <c r="G45" s="13">
        <f aca="true" t="shared" si="10" ref="G45:G76">B45*C$6</f>
        <v>5.6160000000000005</v>
      </c>
      <c r="H45" s="14">
        <f aca="true" t="shared" si="11" ref="H45:H76">D45-G45</f>
        <v>479.4</v>
      </c>
      <c r="I45" s="11"/>
    </row>
    <row r="46" spans="1:9" ht="12.75">
      <c r="A46" s="19">
        <v>21</v>
      </c>
      <c r="B46" s="22">
        <f t="shared" si="5"/>
        <v>47.25000000000001</v>
      </c>
      <c r="C46" s="11">
        <f t="shared" si="6"/>
        <v>201.45</v>
      </c>
      <c r="D46" s="3">
        <f t="shared" si="7"/>
        <v>207.11999999999998</v>
      </c>
      <c r="E46" s="7">
        <f t="shared" si="8"/>
        <v>4.383492063492063</v>
      </c>
      <c r="F46" s="25" t="str">
        <f t="shared" si="9"/>
        <v>RuN</v>
      </c>
      <c r="G46" s="13">
        <f t="shared" si="10"/>
        <v>5.670000000000001</v>
      </c>
      <c r="H46" s="14">
        <f t="shared" si="11"/>
        <v>201.45</v>
      </c>
      <c r="I46" s="11"/>
    </row>
    <row r="47" spans="1:9" ht="12.75">
      <c r="A47" s="19">
        <v>23</v>
      </c>
      <c r="B47" s="22">
        <f t="shared" si="5"/>
        <v>51.75</v>
      </c>
      <c r="C47" s="11">
        <f t="shared" si="6"/>
        <v>619.65</v>
      </c>
      <c r="D47" s="3">
        <f t="shared" si="7"/>
        <v>625.86</v>
      </c>
      <c r="E47" s="7">
        <f t="shared" si="8"/>
        <v>12.093913043478262</v>
      </c>
      <c r="F47" s="26" t="str">
        <f t="shared" si="9"/>
        <v>RuN</v>
      </c>
      <c r="G47" s="13">
        <f t="shared" si="10"/>
        <v>6.21</v>
      </c>
      <c r="H47" s="14">
        <f t="shared" si="11"/>
        <v>619.65</v>
      </c>
      <c r="I47" s="11"/>
    </row>
    <row r="48" spans="1:9" ht="12.75">
      <c r="A48" s="19">
        <v>39</v>
      </c>
      <c r="B48" s="22">
        <f t="shared" si="5"/>
        <v>52.650000000000006</v>
      </c>
      <c r="C48" s="11">
        <f t="shared" si="6"/>
        <v>834.6999999999999</v>
      </c>
      <c r="D48" s="3">
        <f t="shared" si="7"/>
        <v>841.0179999999999</v>
      </c>
      <c r="E48" s="7">
        <f t="shared" si="8"/>
        <v>15.973751187084517</v>
      </c>
      <c r="F48" s="25" t="str">
        <f t="shared" si="9"/>
        <v>RuN</v>
      </c>
      <c r="G48" s="13">
        <f t="shared" si="10"/>
        <v>6.3180000000000005</v>
      </c>
      <c r="H48" s="14">
        <f t="shared" si="11"/>
        <v>834.6999999999999</v>
      </c>
      <c r="I48" s="11"/>
    </row>
    <row r="49" spans="1:9" ht="12.75">
      <c r="A49" s="19">
        <v>15</v>
      </c>
      <c r="B49" s="22">
        <f t="shared" si="5"/>
        <v>54</v>
      </c>
      <c r="C49" s="11">
        <f t="shared" si="6"/>
        <v>73.95</v>
      </c>
      <c r="D49" s="3">
        <f t="shared" si="7"/>
        <v>80.43</v>
      </c>
      <c r="E49" s="7">
        <f t="shared" si="8"/>
        <v>1.4894444444444446</v>
      </c>
      <c r="F49" s="25" t="str">
        <f t="shared" si="9"/>
        <v>RuN</v>
      </c>
      <c r="G49" s="13">
        <f t="shared" si="10"/>
        <v>6.4799999999999995</v>
      </c>
      <c r="H49" s="14">
        <f t="shared" si="11"/>
        <v>73.95</v>
      </c>
      <c r="I49" s="11"/>
    </row>
    <row r="50" spans="1:9" ht="12.75">
      <c r="A50" s="19">
        <v>18</v>
      </c>
      <c r="B50" s="22">
        <f t="shared" si="5"/>
        <v>56.699999999999996</v>
      </c>
      <c r="C50" s="11">
        <f t="shared" si="6"/>
        <v>1569.1</v>
      </c>
      <c r="D50" s="3">
        <f t="shared" si="7"/>
        <v>1575.904</v>
      </c>
      <c r="E50" s="7">
        <f t="shared" si="8"/>
        <v>27.79372134038801</v>
      </c>
      <c r="F50" s="25" t="str">
        <f t="shared" si="9"/>
        <v>RuN</v>
      </c>
      <c r="G50" s="13">
        <f t="shared" si="10"/>
        <v>6.803999999999999</v>
      </c>
      <c r="H50" s="14">
        <f t="shared" si="11"/>
        <v>1569.1</v>
      </c>
      <c r="I50" s="11"/>
    </row>
    <row r="51" spans="1:9" ht="12.75">
      <c r="A51" s="19">
        <v>49</v>
      </c>
      <c r="B51" s="22">
        <f t="shared" si="5"/>
        <v>66.15</v>
      </c>
      <c r="C51" s="11">
        <f t="shared" si="6"/>
        <v>1325.1499999999999</v>
      </c>
      <c r="D51" s="3">
        <f t="shared" si="7"/>
        <v>1333.088</v>
      </c>
      <c r="E51" s="7">
        <f t="shared" si="8"/>
        <v>20.152501889644743</v>
      </c>
      <c r="F51" s="25" t="str">
        <f t="shared" si="9"/>
        <v>RuN</v>
      </c>
      <c r="G51" s="13">
        <f t="shared" si="10"/>
        <v>7.938000000000001</v>
      </c>
      <c r="H51" s="14">
        <f t="shared" si="11"/>
        <v>1325.1499999999999</v>
      </c>
      <c r="I51" s="11"/>
    </row>
    <row r="52" spans="1:9" ht="12.75">
      <c r="A52" s="19">
        <v>74</v>
      </c>
      <c r="B52" s="22">
        <f t="shared" si="5"/>
        <v>66.60000000000001</v>
      </c>
      <c r="C52" s="11">
        <f t="shared" si="6"/>
        <v>1227.3999999999999</v>
      </c>
      <c r="D52" s="3">
        <f t="shared" si="7"/>
        <v>1235.3919999999998</v>
      </c>
      <c r="E52" s="7">
        <f t="shared" si="8"/>
        <v>18.549429429429424</v>
      </c>
      <c r="F52" s="25" t="str">
        <f t="shared" si="9"/>
        <v>RuN</v>
      </c>
      <c r="G52" s="13">
        <f t="shared" si="10"/>
        <v>7.992000000000001</v>
      </c>
      <c r="H52" s="14">
        <f t="shared" si="11"/>
        <v>1227.3999999999999</v>
      </c>
      <c r="I52" s="11"/>
    </row>
    <row r="53" spans="1:9" ht="12.75">
      <c r="A53" s="19">
        <v>26</v>
      </c>
      <c r="B53" s="22">
        <f t="shared" si="5"/>
        <v>70.2</v>
      </c>
      <c r="C53" s="11">
        <f t="shared" si="6"/>
        <v>1193.3999999999999</v>
      </c>
      <c r="D53" s="3">
        <f t="shared" si="7"/>
        <v>1201.8239999999998</v>
      </c>
      <c r="E53" s="7">
        <f t="shared" si="8"/>
        <v>17.119999999999997</v>
      </c>
      <c r="F53" s="25" t="str">
        <f t="shared" si="9"/>
        <v>RuN</v>
      </c>
      <c r="G53" s="13">
        <f t="shared" si="10"/>
        <v>8.424</v>
      </c>
      <c r="H53" s="14">
        <f t="shared" si="11"/>
        <v>1193.3999999999999</v>
      </c>
      <c r="I53" s="11"/>
    </row>
    <row r="54" spans="1:9" ht="12.75">
      <c r="A54" s="38">
        <v>16</v>
      </c>
      <c r="B54" s="22">
        <f t="shared" si="5"/>
        <v>72</v>
      </c>
      <c r="C54" s="11">
        <v>0</v>
      </c>
      <c r="D54" s="5">
        <f t="shared" si="7"/>
        <v>8.64</v>
      </c>
      <c r="E54" s="9">
        <f t="shared" si="8"/>
        <v>0.12000000000000001</v>
      </c>
      <c r="F54" s="39" t="str">
        <f t="shared" si="9"/>
        <v>N</v>
      </c>
      <c r="G54" s="15">
        <f t="shared" si="10"/>
        <v>8.64</v>
      </c>
      <c r="H54" s="16">
        <f t="shared" si="11"/>
        <v>0</v>
      </c>
      <c r="I54" s="12" t="s">
        <v>5</v>
      </c>
    </row>
    <row r="55" spans="1:9" ht="12.75">
      <c r="A55" s="19">
        <v>83</v>
      </c>
      <c r="B55" s="22">
        <f t="shared" si="5"/>
        <v>74.7</v>
      </c>
      <c r="C55" s="11">
        <f t="shared" si="6"/>
        <v>820.25</v>
      </c>
      <c r="D55" s="3">
        <f t="shared" si="7"/>
        <v>829.214</v>
      </c>
      <c r="E55" s="7">
        <f t="shared" si="8"/>
        <v>11.100589022757697</v>
      </c>
      <c r="F55" s="25" t="str">
        <f t="shared" si="9"/>
        <v>RuN</v>
      </c>
      <c r="G55" s="13">
        <f t="shared" si="10"/>
        <v>8.964</v>
      </c>
      <c r="H55" s="14">
        <f t="shared" si="11"/>
        <v>820.25</v>
      </c>
      <c r="I55" s="11"/>
    </row>
    <row r="56" spans="1:9" ht="12.75">
      <c r="A56" s="19">
        <v>42</v>
      </c>
      <c r="B56" s="22">
        <f t="shared" si="5"/>
        <v>75.60000000000001</v>
      </c>
      <c r="C56" s="11">
        <f t="shared" si="6"/>
        <v>744.6</v>
      </c>
      <c r="D56" s="3">
        <f t="shared" si="7"/>
        <v>753.672</v>
      </c>
      <c r="E56" s="7">
        <f t="shared" si="8"/>
        <v>9.969206349206349</v>
      </c>
      <c r="F56" s="25" t="str">
        <f t="shared" si="9"/>
        <v>RuN</v>
      </c>
      <c r="G56" s="13">
        <f t="shared" si="10"/>
        <v>9.072000000000001</v>
      </c>
      <c r="H56" s="14">
        <f t="shared" si="11"/>
        <v>744.6</v>
      </c>
      <c r="I56" s="11"/>
    </row>
    <row r="57" spans="1:9" ht="12.75">
      <c r="A57" s="19">
        <v>61</v>
      </c>
      <c r="B57" s="22">
        <f t="shared" si="5"/>
        <v>82.35</v>
      </c>
      <c r="C57" s="11">
        <f t="shared" si="6"/>
        <v>872.9499999999999</v>
      </c>
      <c r="D57" s="3">
        <f t="shared" si="7"/>
        <v>882.8319999999999</v>
      </c>
      <c r="E57" s="7">
        <f t="shared" si="8"/>
        <v>10.720485731633271</v>
      </c>
      <c r="F57" s="25" t="str">
        <f t="shared" si="9"/>
        <v>RuN</v>
      </c>
      <c r="G57" s="13">
        <f t="shared" si="10"/>
        <v>9.882</v>
      </c>
      <c r="H57" s="14">
        <f t="shared" si="11"/>
        <v>872.9499999999999</v>
      </c>
      <c r="I57" s="11"/>
    </row>
    <row r="58" spans="1:9" ht="12.75">
      <c r="A58" s="19">
        <v>46</v>
      </c>
      <c r="B58" s="22">
        <f t="shared" si="5"/>
        <v>82.8</v>
      </c>
      <c r="C58" s="11">
        <f t="shared" si="6"/>
        <v>280.5</v>
      </c>
      <c r="D58" s="3">
        <f t="shared" si="7"/>
        <v>290.436</v>
      </c>
      <c r="E58" s="7">
        <f t="shared" si="8"/>
        <v>3.5076811594202897</v>
      </c>
      <c r="F58" s="25" t="str">
        <f t="shared" si="9"/>
        <v>RuN</v>
      </c>
      <c r="G58" s="13">
        <f t="shared" si="10"/>
        <v>9.936</v>
      </c>
      <c r="H58" s="14">
        <f t="shared" si="11"/>
        <v>280.5</v>
      </c>
      <c r="I58" s="11"/>
    </row>
    <row r="59" spans="1:9" ht="12.75">
      <c r="A59" s="19">
        <v>19</v>
      </c>
      <c r="B59" s="22">
        <f t="shared" si="5"/>
        <v>85.5</v>
      </c>
      <c r="C59" s="11">
        <f t="shared" si="6"/>
        <v>1620.1</v>
      </c>
      <c r="D59" s="3">
        <f t="shared" si="7"/>
        <v>1630.36</v>
      </c>
      <c r="E59" s="7">
        <f t="shared" si="8"/>
        <v>19.068538011695907</v>
      </c>
      <c r="F59" s="25" t="str">
        <f t="shared" si="9"/>
        <v>RuN</v>
      </c>
      <c r="G59" s="13">
        <f t="shared" si="10"/>
        <v>10.26</v>
      </c>
      <c r="H59" s="14">
        <f t="shared" si="11"/>
        <v>1620.1</v>
      </c>
      <c r="I59" s="11"/>
    </row>
    <row r="60" spans="1:9" ht="12.75">
      <c r="A60" s="19">
        <v>29</v>
      </c>
      <c r="B60" s="22">
        <f t="shared" si="5"/>
        <v>91.35000000000001</v>
      </c>
      <c r="C60" s="11">
        <f t="shared" si="6"/>
        <v>400.34999999999997</v>
      </c>
      <c r="D60" s="3">
        <f t="shared" si="7"/>
        <v>411.31199999999995</v>
      </c>
      <c r="E60" s="7">
        <f t="shared" si="8"/>
        <v>4.502594417077175</v>
      </c>
      <c r="F60" s="25" t="str">
        <f t="shared" si="9"/>
        <v>RuN</v>
      </c>
      <c r="G60" s="13">
        <f t="shared" si="10"/>
        <v>10.962</v>
      </c>
      <c r="H60" s="14">
        <f t="shared" si="11"/>
        <v>400.34999999999997</v>
      </c>
      <c r="I60" s="11"/>
    </row>
    <row r="61" spans="1:9" ht="12.75">
      <c r="A61" s="19">
        <v>71</v>
      </c>
      <c r="B61" s="22">
        <f t="shared" si="5"/>
        <v>95.85</v>
      </c>
      <c r="C61" s="11">
        <f t="shared" si="6"/>
        <v>368.9</v>
      </c>
      <c r="D61" s="3">
        <f t="shared" si="7"/>
        <v>380.402</v>
      </c>
      <c r="E61" s="7">
        <f t="shared" si="8"/>
        <v>3.968721961398018</v>
      </c>
      <c r="F61" s="25" t="str">
        <f t="shared" si="9"/>
        <v>RuN</v>
      </c>
      <c r="G61" s="13">
        <f t="shared" si="10"/>
        <v>11.501999999999999</v>
      </c>
      <c r="H61" s="14">
        <f t="shared" si="11"/>
        <v>368.9</v>
      </c>
      <c r="I61" s="11"/>
    </row>
    <row r="62" spans="1:9" ht="12.75">
      <c r="A62" s="19">
        <v>22</v>
      </c>
      <c r="B62" s="22">
        <f t="shared" si="5"/>
        <v>99</v>
      </c>
      <c r="C62" s="11">
        <f t="shared" si="6"/>
        <v>37.4</v>
      </c>
      <c r="D62" s="3">
        <f t="shared" si="7"/>
        <v>49.28</v>
      </c>
      <c r="E62" s="7">
        <f t="shared" si="8"/>
        <v>0.49777777777777776</v>
      </c>
      <c r="F62" s="25" t="str">
        <f t="shared" si="9"/>
        <v>RuN</v>
      </c>
      <c r="G62" s="13">
        <f t="shared" si="10"/>
        <v>11.879999999999999</v>
      </c>
      <c r="H62" s="14">
        <f t="shared" si="11"/>
        <v>37.400000000000006</v>
      </c>
      <c r="I62" s="11"/>
    </row>
    <row r="63" spans="1:9" ht="12.75">
      <c r="A63" s="19">
        <v>45</v>
      </c>
      <c r="B63" s="22">
        <f t="shared" si="5"/>
        <v>101.25</v>
      </c>
      <c r="C63" s="11">
        <f t="shared" si="6"/>
        <v>1072.7</v>
      </c>
      <c r="D63" s="3">
        <f t="shared" si="7"/>
        <v>1084.8500000000001</v>
      </c>
      <c r="E63" s="7">
        <f t="shared" si="8"/>
        <v>10.714567901234568</v>
      </c>
      <c r="F63" s="25" t="str">
        <f t="shared" si="9"/>
        <v>RuN</v>
      </c>
      <c r="G63" s="13">
        <f t="shared" si="10"/>
        <v>12.15</v>
      </c>
      <c r="H63" s="14">
        <f t="shared" si="11"/>
        <v>1072.7</v>
      </c>
      <c r="I63" s="11"/>
    </row>
    <row r="64" spans="1:9" ht="12.75">
      <c r="A64" s="19">
        <v>25</v>
      </c>
      <c r="B64" s="22">
        <f t="shared" si="5"/>
        <v>112.5</v>
      </c>
      <c r="C64" s="11">
        <f t="shared" si="6"/>
        <v>1689.8</v>
      </c>
      <c r="D64" s="3">
        <f t="shared" si="7"/>
        <v>1703.3</v>
      </c>
      <c r="E64" s="7">
        <f t="shared" si="8"/>
        <v>15.140444444444444</v>
      </c>
      <c r="F64" s="25" t="str">
        <f t="shared" si="9"/>
        <v>RuN</v>
      </c>
      <c r="G64" s="13">
        <f t="shared" si="10"/>
        <v>13.5</v>
      </c>
      <c r="H64" s="14">
        <f t="shared" si="11"/>
        <v>1689.8</v>
      </c>
      <c r="I64" s="11"/>
    </row>
    <row r="65" spans="1:9" ht="12.75">
      <c r="A65" s="19">
        <v>32</v>
      </c>
      <c r="B65" s="22">
        <f t="shared" si="5"/>
        <v>115.2</v>
      </c>
      <c r="C65" s="11">
        <f t="shared" si="6"/>
        <v>1397.3999999999999</v>
      </c>
      <c r="D65" s="3">
        <f t="shared" si="7"/>
        <v>1411.224</v>
      </c>
      <c r="E65" s="7">
        <f t="shared" si="8"/>
        <v>12.250208333333333</v>
      </c>
      <c r="F65" s="25" t="str">
        <f t="shared" si="9"/>
        <v>RuN</v>
      </c>
      <c r="G65" s="13">
        <f t="shared" si="10"/>
        <v>13.824</v>
      </c>
      <c r="H65" s="14">
        <f t="shared" si="11"/>
        <v>1397.3999999999999</v>
      </c>
      <c r="I65" s="11"/>
    </row>
    <row r="66" spans="1:9" ht="12.75">
      <c r="A66" s="38">
        <v>64</v>
      </c>
      <c r="B66" s="22">
        <f t="shared" si="5"/>
        <v>115.2</v>
      </c>
      <c r="C66" s="11">
        <v>0</v>
      </c>
      <c r="D66" s="5">
        <f t="shared" si="7"/>
        <v>13.824</v>
      </c>
      <c r="E66" s="9">
        <f t="shared" si="8"/>
        <v>0.12</v>
      </c>
      <c r="F66" s="39" t="str">
        <f t="shared" si="9"/>
        <v>N</v>
      </c>
      <c r="G66" s="15">
        <f t="shared" si="10"/>
        <v>13.824</v>
      </c>
      <c r="H66" s="16">
        <f t="shared" si="11"/>
        <v>0</v>
      </c>
      <c r="I66" s="12" t="s">
        <v>5</v>
      </c>
    </row>
    <row r="67" spans="1:9" ht="12.75">
      <c r="A67" s="19">
        <v>43</v>
      </c>
      <c r="B67" s="22">
        <f t="shared" si="5"/>
        <v>116.10000000000001</v>
      </c>
      <c r="C67" s="11">
        <f t="shared" si="6"/>
        <v>1502.8</v>
      </c>
      <c r="D67" s="3">
        <f t="shared" si="7"/>
        <v>1516.732</v>
      </c>
      <c r="E67" s="7">
        <f t="shared" si="8"/>
        <v>13.064013781223082</v>
      </c>
      <c r="F67" s="25" t="str">
        <f t="shared" si="9"/>
        <v>RuN</v>
      </c>
      <c r="G67" s="13">
        <f t="shared" si="10"/>
        <v>13.932</v>
      </c>
      <c r="H67" s="14">
        <f t="shared" si="11"/>
        <v>1502.8</v>
      </c>
      <c r="I67" s="11"/>
    </row>
    <row r="68" spans="1:9" ht="12.75">
      <c r="A68" s="19">
        <v>34</v>
      </c>
      <c r="B68" s="22">
        <f t="shared" si="5"/>
        <v>122.4</v>
      </c>
      <c r="C68" s="11">
        <f t="shared" si="6"/>
        <v>30.599999999999998</v>
      </c>
      <c r="D68" s="3">
        <f t="shared" si="7"/>
        <v>45.288</v>
      </c>
      <c r="E68" s="7">
        <f t="shared" si="8"/>
        <v>0.36999999999999994</v>
      </c>
      <c r="F68" s="25" t="str">
        <f t="shared" si="9"/>
        <v>RuN</v>
      </c>
      <c r="G68" s="13">
        <f t="shared" si="10"/>
        <v>14.688</v>
      </c>
      <c r="H68" s="14">
        <f t="shared" si="11"/>
        <v>30.599999999999994</v>
      </c>
      <c r="I68" s="11"/>
    </row>
    <row r="69" spans="1:9" ht="12.75">
      <c r="A69" s="19">
        <v>68</v>
      </c>
      <c r="B69" s="22">
        <f t="shared" si="5"/>
        <v>122.4</v>
      </c>
      <c r="C69" s="11">
        <f t="shared" si="6"/>
        <v>1425.45</v>
      </c>
      <c r="D69" s="3">
        <f t="shared" si="7"/>
        <v>1440.1380000000001</v>
      </c>
      <c r="E69" s="7">
        <f t="shared" si="8"/>
        <v>11.765833333333333</v>
      </c>
      <c r="F69" s="25" t="str">
        <f t="shared" si="9"/>
        <v>RuN</v>
      </c>
      <c r="G69" s="13">
        <f t="shared" si="10"/>
        <v>14.688</v>
      </c>
      <c r="H69" s="14">
        <f t="shared" si="11"/>
        <v>1425.45</v>
      </c>
      <c r="I69" s="11"/>
    </row>
    <row r="70" spans="1:9" ht="12.75">
      <c r="A70" s="19">
        <v>31</v>
      </c>
      <c r="B70" s="22">
        <f t="shared" si="5"/>
        <v>125.55000000000001</v>
      </c>
      <c r="C70" s="11">
        <f t="shared" si="6"/>
        <v>1693.2</v>
      </c>
      <c r="D70" s="3">
        <f t="shared" si="7"/>
        <v>1708.266</v>
      </c>
      <c r="E70" s="7">
        <f t="shared" si="8"/>
        <v>13.606260454002388</v>
      </c>
      <c r="F70" s="25" t="str">
        <f t="shared" si="9"/>
        <v>RuN</v>
      </c>
      <c r="G70" s="13">
        <f t="shared" si="10"/>
        <v>15.066</v>
      </c>
      <c r="H70" s="14">
        <f t="shared" si="11"/>
        <v>1693.2</v>
      </c>
      <c r="I70" s="11"/>
    </row>
    <row r="71" spans="1:9" ht="12.75">
      <c r="A71" s="19">
        <v>93</v>
      </c>
      <c r="B71" s="22">
        <f t="shared" si="5"/>
        <v>125.55000000000001</v>
      </c>
      <c r="C71" s="11">
        <f t="shared" si="6"/>
        <v>1337.05</v>
      </c>
      <c r="D71" s="3">
        <f t="shared" si="7"/>
        <v>1352.116</v>
      </c>
      <c r="E71" s="7">
        <f t="shared" si="8"/>
        <v>10.769542015133412</v>
      </c>
      <c r="F71" s="25" t="str">
        <f t="shared" si="9"/>
        <v>RuN</v>
      </c>
      <c r="G71" s="13">
        <f t="shared" si="10"/>
        <v>15.066</v>
      </c>
      <c r="H71" s="14">
        <f t="shared" si="11"/>
        <v>1337.05</v>
      </c>
      <c r="I71" s="11"/>
    </row>
    <row r="72" spans="1:9" ht="12.75">
      <c r="A72" s="20">
        <v>28</v>
      </c>
      <c r="B72" s="22">
        <f t="shared" si="5"/>
        <v>126</v>
      </c>
      <c r="C72" s="11">
        <f t="shared" si="6"/>
        <v>0</v>
      </c>
      <c r="D72" s="4">
        <f t="shared" si="7"/>
        <v>15.12</v>
      </c>
      <c r="E72" s="8">
        <f t="shared" si="8"/>
        <v>0.12</v>
      </c>
      <c r="F72" s="27" t="str">
        <f t="shared" si="9"/>
        <v>N</v>
      </c>
      <c r="G72" s="47">
        <f t="shared" si="10"/>
        <v>15.12</v>
      </c>
      <c r="H72" s="48">
        <f t="shared" si="11"/>
        <v>0</v>
      </c>
      <c r="I72" s="21" t="s">
        <v>73</v>
      </c>
    </row>
    <row r="73" spans="1:9" ht="12.75">
      <c r="A73" s="19">
        <v>40</v>
      </c>
      <c r="B73" s="22">
        <f t="shared" si="5"/>
        <v>126</v>
      </c>
      <c r="C73" s="11">
        <f t="shared" si="6"/>
        <v>126.64999999999999</v>
      </c>
      <c r="D73" s="3">
        <f t="shared" si="7"/>
        <v>141.76999999999998</v>
      </c>
      <c r="E73" s="7">
        <f t="shared" si="8"/>
        <v>1.12515873015873</v>
      </c>
      <c r="F73" s="25" t="str">
        <f t="shared" si="9"/>
        <v>RuN</v>
      </c>
      <c r="G73" s="13">
        <f t="shared" si="10"/>
        <v>15.12</v>
      </c>
      <c r="H73" s="14">
        <f t="shared" si="11"/>
        <v>126.64999999999998</v>
      </c>
      <c r="I73" s="11"/>
    </row>
    <row r="74" spans="1:9" ht="12.75">
      <c r="A74" s="19">
        <v>48</v>
      </c>
      <c r="B74" s="22">
        <f t="shared" si="5"/>
        <v>129.60000000000002</v>
      </c>
      <c r="C74" s="11">
        <f t="shared" si="6"/>
        <v>513.4</v>
      </c>
      <c r="D74" s="3">
        <f t="shared" si="7"/>
        <v>528.952</v>
      </c>
      <c r="E74" s="7">
        <f t="shared" si="8"/>
        <v>4.081419753086419</v>
      </c>
      <c r="F74" s="25" t="str">
        <f t="shared" si="9"/>
        <v>RuN</v>
      </c>
      <c r="G74" s="13">
        <f t="shared" si="10"/>
        <v>15.552000000000001</v>
      </c>
      <c r="H74" s="14">
        <f t="shared" si="11"/>
        <v>513.4</v>
      </c>
      <c r="I74" s="11"/>
    </row>
    <row r="75" spans="1:9" ht="12.75">
      <c r="A75" s="19">
        <v>35</v>
      </c>
      <c r="B75" s="22">
        <f t="shared" si="5"/>
        <v>141.75</v>
      </c>
      <c r="C75" s="11">
        <f t="shared" si="6"/>
        <v>216.75</v>
      </c>
      <c r="D75" s="3">
        <f t="shared" si="7"/>
        <v>233.76</v>
      </c>
      <c r="E75" s="7">
        <f t="shared" si="8"/>
        <v>1.649100529100529</v>
      </c>
      <c r="F75" s="25" t="str">
        <f t="shared" si="9"/>
        <v>RuN</v>
      </c>
      <c r="G75" s="13">
        <f t="shared" si="10"/>
        <v>17.009999999999998</v>
      </c>
      <c r="H75" s="14">
        <f t="shared" si="11"/>
        <v>216.75</v>
      </c>
      <c r="I75" s="11"/>
    </row>
    <row r="76" spans="1:9" ht="12.75">
      <c r="A76" s="19">
        <v>67</v>
      </c>
      <c r="B76" s="22">
        <f t="shared" si="5"/>
        <v>150.75</v>
      </c>
      <c r="C76" s="11">
        <f t="shared" si="6"/>
        <v>634.1</v>
      </c>
      <c r="D76" s="3">
        <f t="shared" si="7"/>
        <v>652.19</v>
      </c>
      <c r="E76" s="7">
        <f t="shared" si="8"/>
        <v>4.326301824212273</v>
      </c>
      <c r="F76" s="25" t="str">
        <f t="shared" si="9"/>
        <v>RuN</v>
      </c>
      <c r="G76" s="13">
        <f t="shared" si="10"/>
        <v>18.09</v>
      </c>
      <c r="H76" s="14">
        <f t="shared" si="11"/>
        <v>634.1</v>
      </c>
      <c r="I76" s="11"/>
    </row>
    <row r="77" spans="1:9" ht="12.75">
      <c r="A77" s="38">
        <v>86</v>
      </c>
      <c r="B77" s="22">
        <f t="shared" si="5"/>
        <v>154.8</v>
      </c>
      <c r="C77" s="11">
        <v>0</v>
      </c>
      <c r="D77" s="5">
        <f aca="true" t="shared" si="12" ref="D77:D108">C77+B77*C$5</f>
        <v>18.576</v>
      </c>
      <c r="E77" s="9">
        <f aca="true" t="shared" si="13" ref="E77:E108">IF(B77&gt;0,D77/B77,10000)</f>
        <v>0.12</v>
      </c>
      <c r="F77" s="39" t="str">
        <f aca="true" t="shared" si="14" ref="F77:F108">IF(E77=10000,G$1,IF(E77=C$6,H$1,I$1))</f>
        <v>N</v>
      </c>
      <c r="G77" s="15">
        <f aca="true" t="shared" si="15" ref="G77:G112">B77*C$6</f>
        <v>18.576</v>
      </c>
      <c r="H77" s="16">
        <f aca="true" t="shared" si="16" ref="H77:H108">D77-G77</f>
        <v>0</v>
      </c>
      <c r="I77" s="12" t="s">
        <v>5</v>
      </c>
    </row>
    <row r="78" spans="1:9" ht="12.75">
      <c r="A78" s="19">
        <v>51</v>
      </c>
      <c r="B78" s="22">
        <f aca="true" t="shared" si="17" ref="B78:B112">A78*C$3*ABS(ROUND(COS(A78)*10,0))</f>
        <v>160.65</v>
      </c>
      <c r="C78" s="11">
        <f aca="true" t="shared" si="18" ref="C78:C112">C$4*ROUND(ABS(SIN(A78+5)-1)*1000,0)</f>
        <v>1293.7</v>
      </c>
      <c r="D78" s="3">
        <f t="shared" si="12"/>
        <v>1312.978</v>
      </c>
      <c r="E78" s="7">
        <f t="shared" si="13"/>
        <v>8.172910052910053</v>
      </c>
      <c r="F78" s="25" t="str">
        <f t="shared" si="14"/>
        <v>RuN</v>
      </c>
      <c r="G78" s="13">
        <f t="shared" si="15"/>
        <v>19.278</v>
      </c>
      <c r="H78" s="14">
        <f t="shared" si="16"/>
        <v>1293.7</v>
      </c>
      <c r="I78" s="11"/>
    </row>
    <row r="79" spans="1:9" ht="12.75">
      <c r="A79" s="19">
        <v>90</v>
      </c>
      <c r="B79" s="22">
        <f t="shared" si="17"/>
        <v>162</v>
      </c>
      <c r="C79" s="11">
        <f t="shared" si="18"/>
        <v>269.45</v>
      </c>
      <c r="D79" s="3">
        <f t="shared" si="12"/>
        <v>288.89</v>
      </c>
      <c r="E79" s="7">
        <f t="shared" si="13"/>
        <v>1.7832716049382715</v>
      </c>
      <c r="F79" s="25" t="str">
        <f t="shared" si="14"/>
        <v>RuN</v>
      </c>
      <c r="G79" s="13">
        <f t="shared" si="15"/>
        <v>19.439999999999998</v>
      </c>
      <c r="H79" s="14">
        <f t="shared" si="16"/>
        <v>269.45</v>
      </c>
      <c r="I79" s="11"/>
    </row>
    <row r="80" spans="1:9" ht="12.75">
      <c r="A80" s="19">
        <v>38</v>
      </c>
      <c r="B80" s="22">
        <f t="shared" si="17"/>
        <v>171</v>
      </c>
      <c r="C80" s="11">
        <f t="shared" si="18"/>
        <v>1557.2</v>
      </c>
      <c r="D80" s="3">
        <f t="shared" si="12"/>
        <v>1577.72</v>
      </c>
      <c r="E80" s="7">
        <f t="shared" si="13"/>
        <v>9.226432748538011</v>
      </c>
      <c r="F80" s="25" t="str">
        <f t="shared" si="14"/>
        <v>RuN</v>
      </c>
      <c r="G80" s="13">
        <f t="shared" si="15"/>
        <v>20.52</v>
      </c>
      <c r="H80" s="14">
        <f t="shared" si="16"/>
        <v>1557.2</v>
      </c>
      <c r="I80" s="11"/>
    </row>
    <row r="81" spans="1:9" ht="12.75">
      <c r="A81" s="19">
        <v>65</v>
      </c>
      <c r="B81" s="22">
        <f t="shared" si="17"/>
        <v>175.5</v>
      </c>
      <c r="C81" s="11">
        <f t="shared" si="18"/>
        <v>192.1</v>
      </c>
      <c r="D81" s="3">
        <f t="shared" si="12"/>
        <v>213.16</v>
      </c>
      <c r="E81" s="7">
        <f t="shared" si="13"/>
        <v>1.2145868945868945</v>
      </c>
      <c r="F81" s="25" t="str">
        <f t="shared" si="14"/>
        <v>RuN</v>
      </c>
      <c r="G81" s="13">
        <f t="shared" si="15"/>
        <v>21.06</v>
      </c>
      <c r="H81" s="14">
        <f t="shared" si="16"/>
        <v>192.1</v>
      </c>
      <c r="I81" s="11"/>
    </row>
    <row r="82" spans="1:9" ht="12.75">
      <c r="A82" s="19">
        <v>41</v>
      </c>
      <c r="B82" s="22">
        <f t="shared" si="17"/>
        <v>184.5</v>
      </c>
      <c r="C82" s="11">
        <f t="shared" si="18"/>
        <v>83.3</v>
      </c>
      <c r="D82" s="3">
        <f t="shared" si="12"/>
        <v>105.44</v>
      </c>
      <c r="E82" s="7">
        <f t="shared" si="13"/>
        <v>0.571490514905149</v>
      </c>
      <c r="F82" s="25" t="str">
        <f t="shared" si="14"/>
        <v>RuN</v>
      </c>
      <c r="G82" s="13">
        <f t="shared" si="15"/>
        <v>22.14</v>
      </c>
      <c r="H82" s="14">
        <f t="shared" si="16"/>
        <v>83.3</v>
      </c>
      <c r="I82" s="11"/>
    </row>
    <row r="83" spans="1:9" ht="12.75">
      <c r="A83" s="19">
        <v>54</v>
      </c>
      <c r="B83" s="22">
        <f t="shared" si="17"/>
        <v>194.4</v>
      </c>
      <c r="C83" s="11">
        <f t="shared" si="18"/>
        <v>308.55</v>
      </c>
      <c r="D83" s="3">
        <f t="shared" si="12"/>
        <v>331.878</v>
      </c>
      <c r="E83" s="7">
        <f t="shared" si="13"/>
        <v>1.7071913580246911</v>
      </c>
      <c r="F83" s="25" t="str">
        <f t="shared" si="14"/>
        <v>RuN</v>
      </c>
      <c r="G83" s="13">
        <f t="shared" si="15"/>
        <v>23.328</v>
      </c>
      <c r="H83" s="14">
        <f t="shared" si="16"/>
        <v>308.55</v>
      </c>
      <c r="I83" s="11"/>
    </row>
    <row r="84" spans="1:9" ht="12.75">
      <c r="A84" s="19">
        <v>62</v>
      </c>
      <c r="B84" s="22">
        <f t="shared" si="17"/>
        <v>195.3</v>
      </c>
      <c r="C84" s="11">
        <f t="shared" si="18"/>
        <v>1577.6</v>
      </c>
      <c r="D84" s="3">
        <f t="shared" si="12"/>
        <v>1601.0359999999998</v>
      </c>
      <c r="E84" s="7">
        <f t="shared" si="13"/>
        <v>8.197828981054785</v>
      </c>
      <c r="F84" s="25" t="str">
        <f t="shared" si="14"/>
        <v>RuN</v>
      </c>
      <c r="G84" s="13">
        <f t="shared" si="15"/>
        <v>23.436</v>
      </c>
      <c r="H84" s="14">
        <f t="shared" si="16"/>
        <v>1577.6</v>
      </c>
      <c r="I84" s="11"/>
    </row>
    <row r="85" spans="1:9" ht="12.75">
      <c r="A85" s="19">
        <v>44</v>
      </c>
      <c r="B85" s="22">
        <f t="shared" si="17"/>
        <v>198</v>
      </c>
      <c r="C85" s="11">
        <f t="shared" si="18"/>
        <v>1660.8999999999999</v>
      </c>
      <c r="D85" s="3">
        <f t="shared" si="12"/>
        <v>1684.6599999999999</v>
      </c>
      <c r="E85" s="7">
        <f t="shared" si="13"/>
        <v>8.508383838383837</v>
      </c>
      <c r="F85" s="25" t="str">
        <f t="shared" si="14"/>
        <v>RuN</v>
      </c>
      <c r="G85" s="13">
        <f t="shared" si="15"/>
        <v>23.759999999999998</v>
      </c>
      <c r="H85" s="14">
        <f t="shared" si="16"/>
        <v>1660.8999999999999</v>
      </c>
      <c r="I85" s="11"/>
    </row>
    <row r="86" spans="1:9" ht="12.75">
      <c r="A86" s="19">
        <v>89</v>
      </c>
      <c r="B86" s="22">
        <f t="shared" si="17"/>
        <v>200.25000000000003</v>
      </c>
      <c r="C86" s="11">
        <f t="shared" si="18"/>
        <v>1058.25</v>
      </c>
      <c r="D86" s="3">
        <f t="shared" si="12"/>
        <v>1082.28</v>
      </c>
      <c r="E86" s="7">
        <f t="shared" si="13"/>
        <v>5.404644194756553</v>
      </c>
      <c r="F86" s="25" t="str">
        <f t="shared" si="14"/>
        <v>RuN</v>
      </c>
      <c r="G86" s="13">
        <f t="shared" si="15"/>
        <v>24.03</v>
      </c>
      <c r="H86" s="14">
        <f t="shared" si="16"/>
        <v>1058.25</v>
      </c>
      <c r="I86" s="11"/>
    </row>
    <row r="87" spans="1:9" ht="12.75">
      <c r="A87" s="38">
        <v>47</v>
      </c>
      <c r="B87" s="22">
        <f t="shared" si="17"/>
        <v>211.50000000000003</v>
      </c>
      <c r="C87" s="11">
        <v>0</v>
      </c>
      <c r="D87" s="5">
        <f t="shared" si="12"/>
        <v>25.380000000000003</v>
      </c>
      <c r="E87" s="9">
        <f t="shared" si="13"/>
        <v>0.12</v>
      </c>
      <c r="F87" s="39" t="str">
        <f t="shared" si="14"/>
        <v>N</v>
      </c>
      <c r="G87" s="15">
        <f t="shared" si="15"/>
        <v>25.380000000000003</v>
      </c>
      <c r="H87" s="16">
        <f t="shared" si="16"/>
        <v>0</v>
      </c>
      <c r="I87" s="12" t="s">
        <v>5</v>
      </c>
    </row>
    <row r="88" spans="1:9" ht="12.75">
      <c r="A88" s="19">
        <v>59</v>
      </c>
      <c r="B88" s="22">
        <f t="shared" si="17"/>
        <v>212.4</v>
      </c>
      <c r="C88" s="11">
        <f t="shared" si="18"/>
        <v>68</v>
      </c>
      <c r="D88" s="3">
        <f t="shared" si="12"/>
        <v>93.488</v>
      </c>
      <c r="E88" s="7">
        <f t="shared" si="13"/>
        <v>0.44015065913371</v>
      </c>
      <c r="F88" s="25" t="str">
        <f t="shared" si="14"/>
        <v>RuN</v>
      </c>
      <c r="G88" s="13">
        <f t="shared" si="15"/>
        <v>25.488</v>
      </c>
      <c r="H88" s="14">
        <f t="shared" si="16"/>
        <v>68</v>
      </c>
      <c r="I88" s="11"/>
    </row>
    <row r="89" spans="1:9" ht="12.75">
      <c r="A89" s="19">
        <v>53</v>
      </c>
      <c r="B89" s="22">
        <f t="shared" si="17"/>
        <v>214.65</v>
      </c>
      <c r="C89" s="11">
        <f t="shared" si="18"/>
        <v>5.95</v>
      </c>
      <c r="D89" s="3">
        <f t="shared" si="12"/>
        <v>31.708</v>
      </c>
      <c r="E89" s="7">
        <f t="shared" si="13"/>
        <v>0.14771954344281388</v>
      </c>
      <c r="F89" s="25" t="str">
        <f t="shared" si="14"/>
        <v>RuN</v>
      </c>
      <c r="G89" s="13">
        <f t="shared" si="15"/>
        <v>25.758</v>
      </c>
      <c r="H89" s="14">
        <f t="shared" si="16"/>
        <v>5.949999999999999</v>
      </c>
      <c r="I89" s="11"/>
    </row>
    <row r="90" spans="1:9" ht="12.75">
      <c r="A90" s="19">
        <v>50</v>
      </c>
      <c r="B90" s="22">
        <f t="shared" si="17"/>
        <v>225</v>
      </c>
      <c r="C90" s="11">
        <f t="shared" si="18"/>
        <v>1700</v>
      </c>
      <c r="D90" s="3">
        <f t="shared" si="12"/>
        <v>1727</v>
      </c>
      <c r="E90" s="7">
        <f t="shared" si="13"/>
        <v>7.6755555555555555</v>
      </c>
      <c r="F90" s="25" t="str">
        <f t="shared" si="14"/>
        <v>RuN</v>
      </c>
      <c r="G90" s="13">
        <f t="shared" si="15"/>
        <v>27</v>
      </c>
      <c r="H90" s="14">
        <f t="shared" si="16"/>
        <v>1700</v>
      </c>
      <c r="I90" s="11"/>
    </row>
    <row r="91" spans="1:9" ht="12.75">
      <c r="A91" s="19">
        <v>56</v>
      </c>
      <c r="B91" s="22">
        <f t="shared" si="17"/>
        <v>226.79999999999998</v>
      </c>
      <c r="C91" s="11">
        <f t="shared" si="18"/>
        <v>1671.1</v>
      </c>
      <c r="D91" s="3">
        <f t="shared" si="12"/>
        <v>1698.3159999999998</v>
      </c>
      <c r="E91" s="7">
        <f t="shared" si="13"/>
        <v>7.488165784832451</v>
      </c>
      <c r="F91" s="25" t="str">
        <f t="shared" si="14"/>
        <v>RuN</v>
      </c>
      <c r="G91" s="13">
        <f t="shared" si="15"/>
        <v>27.215999999999998</v>
      </c>
      <c r="H91" s="14">
        <f t="shared" si="16"/>
        <v>1671.1</v>
      </c>
      <c r="I91" s="11"/>
    </row>
    <row r="92" spans="1:9" ht="12.75">
      <c r="A92" s="19">
        <v>57</v>
      </c>
      <c r="B92" s="22">
        <f t="shared" si="17"/>
        <v>230.85000000000002</v>
      </c>
      <c r="C92" s="11">
        <f t="shared" si="18"/>
        <v>1478.1499999999999</v>
      </c>
      <c r="D92" s="3">
        <f t="shared" si="12"/>
        <v>1505.8519999999999</v>
      </c>
      <c r="E92" s="7">
        <f t="shared" si="13"/>
        <v>6.523075590210092</v>
      </c>
      <c r="F92" s="25" t="str">
        <f t="shared" si="14"/>
        <v>RuN</v>
      </c>
      <c r="G92" s="13">
        <f t="shared" si="15"/>
        <v>27.702</v>
      </c>
      <c r="H92" s="14">
        <f t="shared" si="16"/>
        <v>1478.1499999999999</v>
      </c>
      <c r="I92" s="11"/>
    </row>
    <row r="93" spans="1:9" ht="12.75">
      <c r="A93" s="19">
        <v>87</v>
      </c>
      <c r="B93" s="22">
        <f t="shared" si="17"/>
        <v>234.89999999999998</v>
      </c>
      <c r="C93" s="11">
        <f t="shared" si="18"/>
        <v>1512.1499999999999</v>
      </c>
      <c r="D93" s="3">
        <f t="shared" si="12"/>
        <v>1540.338</v>
      </c>
      <c r="E93" s="7">
        <f t="shared" si="13"/>
        <v>6.5574201787994895</v>
      </c>
      <c r="F93" s="25" t="str">
        <f t="shared" si="14"/>
        <v>RuN</v>
      </c>
      <c r="G93" s="13">
        <f t="shared" si="15"/>
        <v>28.187999999999995</v>
      </c>
      <c r="H93" s="14">
        <f t="shared" si="16"/>
        <v>1512.1499999999999</v>
      </c>
      <c r="I93" s="11"/>
    </row>
    <row r="94" spans="1:9" ht="12.75">
      <c r="A94" s="19">
        <v>92</v>
      </c>
      <c r="B94" s="22">
        <f t="shared" si="17"/>
        <v>248.39999999999998</v>
      </c>
      <c r="C94" s="11">
        <f t="shared" si="18"/>
        <v>527</v>
      </c>
      <c r="D94" s="3">
        <f t="shared" si="12"/>
        <v>556.808</v>
      </c>
      <c r="E94" s="7">
        <f t="shared" si="13"/>
        <v>2.2415780998389696</v>
      </c>
      <c r="F94" s="25" t="str">
        <f t="shared" si="14"/>
        <v>RuN</v>
      </c>
      <c r="G94" s="13">
        <f t="shared" si="15"/>
        <v>29.807999999999996</v>
      </c>
      <c r="H94" s="14">
        <f t="shared" si="16"/>
        <v>527</v>
      </c>
      <c r="I94" s="11"/>
    </row>
    <row r="95" spans="1:9" ht="12.75">
      <c r="A95" s="19">
        <v>84</v>
      </c>
      <c r="B95" s="22">
        <f t="shared" si="17"/>
        <v>264.6</v>
      </c>
      <c r="C95" s="11">
        <f t="shared" si="18"/>
        <v>119</v>
      </c>
      <c r="D95" s="3">
        <f t="shared" si="12"/>
        <v>150.752</v>
      </c>
      <c r="E95" s="7">
        <f t="shared" si="13"/>
        <v>0.5697354497354498</v>
      </c>
      <c r="F95" s="25" t="str">
        <f t="shared" si="14"/>
        <v>RuN</v>
      </c>
      <c r="G95" s="13">
        <f t="shared" si="15"/>
        <v>31.752000000000002</v>
      </c>
      <c r="H95" s="14">
        <f t="shared" si="16"/>
        <v>119</v>
      </c>
      <c r="I95" s="11"/>
    </row>
    <row r="96" spans="1:9" ht="12.75">
      <c r="A96" s="38">
        <v>60</v>
      </c>
      <c r="B96" s="22">
        <f t="shared" si="17"/>
        <v>270</v>
      </c>
      <c r="C96" s="11">
        <v>0</v>
      </c>
      <c r="D96" s="5">
        <f t="shared" si="12"/>
        <v>32.4</v>
      </c>
      <c r="E96" s="9">
        <f t="shared" si="13"/>
        <v>0.12</v>
      </c>
      <c r="F96" s="39" t="str">
        <f t="shared" si="14"/>
        <v>N</v>
      </c>
      <c r="G96" s="15">
        <f t="shared" si="15"/>
        <v>32.4</v>
      </c>
      <c r="H96" s="16">
        <f t="shared" si="16"/>
        <v>0</v>
      </c>
      <c r="I96" s="12" t="s">
        <v>5</v>
      </c>
    </row>
    <row r="97" spans="1:9" ht="12.75">
      <c r="A97" s="19">
        <v>76</v>
      </c>
      <c r="B97" s="22">
        <f t="shared" si="17"/>
        <v>273.6</v>
      </c>
      <c r="C97" s="11">
        <f t="shared" si="18"/>
        <v>1385.5</v>
      </c>
      <c r="D97" s="3">
        <f t="shared" si="12"/>
        <v>1418.332</v>
      </c>
      <c r="E97" s="7">
        <f t="shared" si="13"/>
        <v>5.183961988304094</v>
      </c>
      <c r="F97" s="25" t="str">
        <f t="shared" si="14"/>
        <v>RuN</v>
      </c>
      <c r="G97" s="13">
        <f t="shared" si="15"/>
        <v>32.832</v>
      </c>
      <c r="H97" s="14">
        <f t="shared" si="16"/>
        <v>1385.5</v>
      </c>
      <c r="I97" s="11"/>
    </row>
    <row r="98" spans="1:9" ht="12.75">
      <c r="A98" s="19">
        <v>63</v>
      </c>
      <c r="B98" s="22">
        <f t="shared" si="17"/>
        <v>283.5</v>
      </c>
      <c r="C98" s="11">
        <f t="shared" si="18"/>
        <v>1613.3</v>
      </c>
      <c r="D98" s="3">
        <f t="shared" si="12"/>
        <v>1647.32</v>
      </c>
      <c r="E98" s="7">
        <f t="shared" si="13"/>
        <v>5.810652557319224</v>
      </c>
      <c r="F98" s="25" t="str">
        <f t="shared" si="14"/>
        <v>RuN</v>
      </c>
      <c r="G98" s="13">
        <f t="shared" si="15"/>
        <v>34.019999999999996</v>
      </c>
      <c r="H98" s="14">
        <f t="shared" si="16"/>
        <v>1613.3</v>
      </c>
      <c r="I98" s="11"/>
    </row>
    <row r="99" spans="1:9" ht="12.75">
      <c r="A99" s="19">
        <v>66</v>
      </c>
      <c r="B99" s="22">
        <f t="shared" si="17"/>
        <v>297</v>
      </c>
      <c r="C99" s="11">
        <f t="shared" si="18"/>
        <v>41.65</v>
      </c>
      <c r="D99" s="3">
        <f t="shared" si="12"/>
        <v>77.28999999999999</v>
      </c>
      <c r="E99" s="7">
        <f t="shared" si="13"/>
        <v>0.2602356902356902</v>
      </c>
      <c r="F99" s="25" t="str">
        <f t="shared" si="14"/>
        <v>RuN</v>
      </c>
      <c r="G99" s="13">
        <f t="shared" si="15"/>
        <v>35.64</v>
      </c>
      <c r="H99" s="14">
        <f t="shared" si="16"/>
        <v>41.64999999999999</v>
      </c>
      <c r="I99" s="11"/>
    </row>
    <row r="100" spans="1:9" ht="12.75">
      <c r="A100" s="19">
        <v>95</v>
      </c>
      <c r="B100" s="22">
        <f t="shared" si="17"/>
        <v>299.25</v>
      </c>
      <c r="C100" s="11">
        <f t="shared" si="18"/>
        <v>1280.1</v>
      </c>
      <c r="D100" s="3">
        <f t="shared" si="12"/>
        <v>1316.01</v>
      </c>
      <c r="E100" s="7">
        <f t="shared" si="13"/>
        <v>4.397694235588973</v>
      </c>
      <c r="F100" s="25" t="str">
        <f t="shared" si="14"/>
        <v>RuN</v>
      </c>
      <c r="G100" s="13">
        <f t="shared" si="15"/>
        <v>35.91</v>
      </c>
      <c r="H100" s="14">
        <f t="shared" si="16"/>
        <v>1280.1</v>
      </c>
      <c r="I100" s="11"/>
    </row>
    <row r="101" spans="1:9" ht="12.75">
      <c r="A101" s="19">
        <v>75</v>
      </c>
      <c r="B101" s="22">
        <f t="shared" si="17"/>
        <v>303.75</v>
      </c>
      <c r="C101" s="11">
        <f t="shared" si="18"/>
        <v>1694.8999999999999</v>
      </c>
      <c r="D101" s="3">
        <f t="shared" si="12"/>
        <v>1731.35</v>
      </c>
      <c r="E101" s="7">
        <f t="shared" si="13"/>
        <v>5.699917695473251</v>
      </c>
      <c r="F101" s="25" t="str">
        <f t="shared" si="14"/>
        <v>RuN</v>
      </c>
      <c r="G101" s="13">
        <f t="shared" si="15"/>
        <v>36.449999999999996</v>
      </c>
      <c r="H101" s="14">
        <f t="shared" si="16"/>
        <v>1694.8999999999999</v>
      </c>
      <c r="I101" s="11"/>
    </row>
    <row r="102" spans="1:9" ht="12.75">
      <c r="A102" s="19">
        <v>69</v>
      </c>
      <c r="B102" s="22">
        <f t="shared" si="17"/>
        <v>310.5</v>
      </c>
      <c r="C102" s="11">
        <f t="shared" si="18"/>
        <v>1687.25</v>
      </c>
      <c r="D102" s="3">
        <f t="shared" si="12"/>
        <v>1724.51</v>
      </c>
      <c r="E102" s="7">
        <f t="shared" si="13"/>
        <v>5.553977455716586</v>
      </c>
      <c r="F102" s="25" t="str">
        <f t="shared" si="14"/>
        <v>RuN</v>
      </c>
      <c r="G102" s="13">
        <f t="shared" si="15"/>
        <v>37.26</v>
      </c>
      <c r="H102" s="14">
        <f t="shared" si="16"/>
        <v>1687.25</v>
      </c>
      <c r="I102" s="11"/>
    </row>
    <row r="103" spans="1:9" ht="12.75">
      <c r="A103" s="38">
        <v>78</v>
      </c>
      <c r="B103" s="22">
        <f t="shared" si="17"/>
        <v>315.90000000000003</v>
      </c>
      <c r="C103" s="11">
        <v>0</v>
      </c>
      <c r="D103" s="5">
        <f t="shared" si="12"/>
        <v>37.908</v>
      </c>
      <c r="E103" s="9">
        <f t="shared" si="13"/>
        <v>0.12</v>
      </c>
      <c r="F103" s="39" t="str">
        <f t="shared" si="14"/>
        <v>N</v>
      </c>
      <c r="G103" s="15">
        <f t="shared" si="15"/>
        <v>37.908</v>
      </c>
      <c r="H103" s="16">
        <f t="shared" si="16"/>
        <v>0</v>
      </c>
      <c r="I103" s="12" t="s">
        <v>5</v>
      </c>
    </row>
    <row r="104" spans="1:9" ht="12.75">
      <c r="A104" s="19">
        <v>79</v>
      </c>
      <c r="B104" s="22">
        <f t="shared" si="17"/>
        <v>319.95000000000005</v>
      </c>
      <c r="C104" s="11">
        <f t="shared" si="18"/>
        <v>226.95</v>
      </c>
      <c r="D104" s="3">
        <f t="shared" si="12"/>
        <v>265.344</v>
      </c>
      <c r="E104" s="7">
        <f t="shared" si="13"/>
        <v>0.8293295827473042</v>
      </c>
      <c r="F104" s="25" t="str">
        <f t="shared" si="14"/>
        <v>RuN</v>
      </c>
      <c r="G104" s="13">
        <f t="shared" si="15"/>
        <v>38.394000000000005</v>
      </c>
      <c r="H104" s="14">
        <f t="shared" si="16"/>
        <v>226.95</v>
      </c>
      <c r="I104" s="11"/>
    </row>
    <row r="105" spans="1:9" ht="12.75">
      <c r="A105" s="40">
        <v>72</v>
      </c>
      <c r="B105" s="22">
        <f t="shared" si="17"/>
        <v>324</v>
      </c>
      <c r="C105" s="11">
        <f t="shared" si="18"/>
        <v>0</v>
      </c>
      <c r="D105" s="42">
        <f t="shared" si="12"/>
        <v>38.879999999999995</v>
      </c>
      <c r="E105" s="43">
        <f t="shared" si="13"/>
        <v>0.11999999999999998</v>
      </c>
      <c r="F105" s="44" t="str">
        <f t="shared" si="14"/>
        <v>N</v>
      </c>
      <c r="G105" s="45">
        <f t="shared" si="15"/>
        <v>38.879999999999995</v>
      </c>
      <c r="H105" s="46">
        <f t="shared" si="16"/>
        <v>0</v>
      </c>
      <c r="I105" s="41" t="s">
        <v>5</v>
      </c>
    </row>
    <row r="106" spans="1:9" ht="12.75">
      <c r="A106" s="19">
        <v>82</v>
      </c>
      <c r="B106" s="22">
        <f t="shared" si="17"/>
        <v>332.09999999999997</v>
      </c>
      <c r="C106" s="11">
        <f t="shared" si="18"/>
        <v>1548.7</v>
      </c>
      <c r="D106" s="3">
        <f t="shared" si="12"/>
        <v>1588.5520000000001</v>
      </c>
      <c r="E106" s="7">
        <f t="shared" si="13"/>
        <v>4.783354411321892</v>
      </c>
      <c r="F106" s="25" t="str">
        <f t="shared" si="14"/>
        <v>RuN</v>
      </c>
      <c r="G106" s="13">
        <f t="shared" si="15"/>
        <v>39.852</v>
      </c>
      <c r="H106" s="14">
        <f t="shared" si="16"/>
        <v>1548.7</v>
      </c>
      <c r="I106" s="11"/>
    </row>
    <row r="107" spans="1:9" ht="12.75">
      <c r="A107" s="19">
        <v>85</v>
      </c>
      <c r="B107" s="22">
        <f t="shared" si="17"/>
        <v>382.5</v>
      </c>
      <c r="C107" s="11">
        <f t="shared" si="18"/>
        <v>90.1</v>
      </c>
      <c r="D107" s="3">
        <f t="shared" si="12"/>
        <v>136</v>
      </c>
      <c r="E107" s="7">
        <f t="shared" si="13"/>
        <v>0.35555555555555557</v>
      </c>
      <c r="F107" s="25" t="str">
        <f t="shared" si="14"/>
        <v>RuN</v>
      </c>
      <c r="G107" s="13">
        <f t="shared" si="15"/>
        <v>45.9</v>
      </c>
      <c r="H107" s="14">
        <f t="shared" si="16"/>
        <v>90.1</v>
      </c>
      <c r="I107" s="11"/>
    </row>
    <row r="108" spans="1:9" ht="12.75">
      <c r="A108" s="19">
        <v>97</v>
      </c>
      <c r="B108" s="22">
        <f t="shared" si="17"/>
        <v>392.84999999999997</v>
      </c>
      <c r="C108" s="11">
        <f t="shared" si="18"/>
        <v>4.25</v>
      </c>
      <c r="D108" s="3">
        <f t="shared" si="12"/>
        <v>51.391999999999996</v>
      </c>
      <c r="E108" s="7">
        <f t="shared" si="13"/>
        <v>0.13081837851597303</v>
      </c>
      <c r="F108" s="25" t="str">
        <f t="shared" si="14"/>
        <v>RuN</v>
      </c>
      <c r="G108" s="13">
        <f t="shared" si="15"/>
        <v>47.141999999999996</v>
      </c>
      <c r="H108" s="14">
        <f t="shared" si="16"/>
        <v>4.25</v>
      </c>
      <c r="I108" s="11"/>
    </row>
    <row r="109" spans="1:9" ht="12.75">
      <c r="A109" s="19">
        <v>88</v>
      </c>
      <c r="B109" s="22">
        <f t="shared" si="17"/>
        <v>396</v>
      </c>
      <c r="C109" s="11">
        <f t="shared" si="18"/>
        <v>1655.8</v>
      </c>
      <c r="D109" s="3">
        <f>C109+B109*C$5</f>
        <v>1703.32</v>
      </c>
      <c r="E109" s="7">
        <f>IF(B109&gt;0,D109/B109,10000)</f>
        <v>4.301313131313131</v>
      </c>
      <c r="F109" s="25" t="str">
        <f>IF(E109=10000,G$1,IF(E109=C$6,H$1,I$1))</f>
        <v>RuN</v>
      </c>
      <c r="G109" s="13">
        <f t="shared" si="15"/>
        <v>47.519999999999996</v>
      </c>
      <c r="H109" s="14">
        <f>D109-G109</f>
        <v>1655.8</v>
      </c>
      <c r="I109" s="11"/>
    </row>
    <row r="110" spans="1:9" ht="12.75">
      <c r="A110" s="19">
        <v>100</v>
      </c>
      <c r="B110" s="22">
        <f t="shared" si="17"/>
        <v>405</v>
      </c>
      <c r="C110" s="11">
        <f t="shared" si="18"/>
        <v>1675.35</v>
      </c>
      <c r="D110" s="3">
        <f>C110+B110*C$5</f>
        <v>1723.9499999999998</v>
      </c>
      <c r="E110" s="7">
        <f>IF(B110&gt;0,D110/B110,10000)</f>
        <v>4.256666666666666</v>
      </c>
      <c r="F110" s="25" t="str">
        <f>IF(E110=10000,G$1,IF(E110=C$6,H$1,I$1))</f>
        <v>RuN</v>
      </c>
      <c r="G110" s="13">
        <f t="shared" si="15"/>
        <v>48.6</v>
      </c>
      <c r="H110" s="14">
        <f>D110-G110</f>
        <v>1675.35</v>
      </c>
      <c r="I110" s="11"/>
    </row>
    <row r="111" spans="1:9" ht="12.75">
      <c r="A111" s="38">
        <v>91</v>
      </c>
      <c r="B111" s="22">
        <f t="shared" si="17"/>
        <v>409.5</v>
      </c>
      <c r="C111" s="11">
        <v>0</v>
      </c>
      <c r="D111" s="5">
        <f>C111+B111*C$5</f>
        <v>49.14</v>
      </c>
      <c r="E111" s="9">
        <f>IF(B111&gt;0,D111/B111,10000)</f>
        <v>0.12</v>
      </c>
      <c r="F111" s="39" t="str">
        <f>IF(E111=10000,G$1,IF(E111=C$6,H$1,I$1))</f>
        <v>N</v>
      </c>
      <c r="G111" s="15">
        <f t="shared" si="15"/>
        <v>49.14</v>
      </c>
      <c r="H111" s="16">
        <f>D111-G111</f>
        <v>0</v>
      </c>
      <c r="I111" s="41" t="s">
        <v>5</v>
      </c>
    </row>
    <row r="112" spans="1:9" ht="13.5" thickBot="1">
      <c r="A112" s="28">
        <v>94</v>
      </c>
      <c r="B112" s="22">
        <f t="shared" si="17"/>
        <v>423.00000000000006</v>
      </c>
      <c r="C112" s="11">
        <f t="shared" si="18"/>
        <v>1699.1499999999999</v>
      </c>
      <c r="D112" s="30">
        <f>C112+B112*C$5</f>
        <v>1749.9099999999999</v>
      </c>
      <c r="E112" s="31">
        <f>IF(B112&gt;0,D112/B112,10000)</f>
        <v>4.136903073286051</v>
      </c>
      <c r="F112" s="32" t="str">
        <f>IF(E112=10000,G$1,IF(E112=C$6,H$1,I$1))</f>
        <v>RuN</v>
      </c>
      <c r="G112" s="17">
        <f t="shared" si="15"/>
        <v>50.760000000000005</v>
      </c>
      <c r="H112" s="18">
        <f>D112-G112</f>
        <v>1699.1499999999999</v>
      </c>
      <c r="I112" s="29"/>
    </row>
    <row r="113" spans="1:9" s="1" customFormat="1" ht="13.5" thickBot="1">
      <c r="A113" s="61"/>
      <c r="B113" s="62">
        <f>SUM(B13:B112)</f>
        <v>13032.45</v>
      </c>
      <c r="C113" s="63">
        <f>SUM(C13:C112)</f>
        <v>81186.04999999999</v>
      </c>
      <c r="D113" s="64">
        <f>SUM(D13:D112)</f>
        <v>82749.944</v>
      </c>
      <c r="E113" s="33">
        <f>MIN(E13:E112)</f>
        <v>0.11999999999999998</v>
      </c>
      <c r="F113" s="66" t="s">
        <v>0</v>
      </c>
      <c r="G113" s="62">
        <f>SUM(G13:G112)</f>
        <v>1563.8940000000002</v>
      </c>
      <c r="H113" s="62">
        <f>SUM(H13:H112)</f>
        <v>81186.04999999999</v>
      </c>
      <c r="I113" s="65" t="s">
        <v>8</v>
      </c>
    </row>
    <row r="114" spans="2:8" s="10" customFormat="1" ht="13.5" thickBot="1">
      <c r="B114" s="51" t="s">
        <v>22</v>
      </c>
      <c r="C114" s="50"/>
      <c r="D114" s="52" t="s">
        <v>23</v>
      </c>
      <c r="E114" s="60"/>
      <c r="F114" s="23"/>
      <c r="G114" s="51" t="s">
        <v>24</v>
      </c>
      <c r="H114" s="51" t="s">
        <v>25</v>
      </c>
    </row>
  </sheetData>
  <mergeCells count="2">
    <mergeCell ref="G10:H11"/>
    <mergeCell ref="B10:D10"/>
  </mergeCells>
  <printOptions/>
  <pageMargins left="0.75" right="0.75" top="1" bottom="1" header="0.5" footer="0.5"/>
  <pageSetup horizontalDpi="600" verticalDpi="600" orientation="portrait" paperSize="9" r:id="rId4"/>
  <headerFooter alignWithMargins="0">
    <oddHeader>&amp;LЗадача с двумя емкостями. Модель.&amp;R&amp;P</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F73"/>
  <sheetViews>
    <sheetView workbookViewId="0" topLeftCell="A55">
      <selection activeCell="A1" sqref="A1"/>
    </sheetView>
  </sheetViews>
  <sheetFormatPr defaultColWidth="9.00390625" defaultRowHeight="12.75"/>
  <cols>
    <col min="2" max="2" width="12.375" style="0" bestFit="1" customWidth="1"/>
    <col min="4" max="4" width="12.25390625" style="0" customWidth="1"/>
    <col min="5" max="5" width="10.75390625" style="0" customWidth="1"/>
    <col min="6" max="6" width="11.00390625" style="0" customWidth="1"/>
  </cols>
  <sheetData>
    <row r="1" ht="12.75">
      <c r="A1">
        <v>23460914</v>
      </c>
    </row>
    <row r="2" spans="1:5" ht="12.75">
      <c r="A2" t="s">
        <v>222</v>
      </c>
      <c r="E2" t="s">
        <v>223</v>
      </c>
    </row>
    <row r="3" spans="1:6" ht="12.75">
      <c r="A3" s="115"/>
      <c r="B3" s="237" t="s">
        <v>219</v>
      </c>
      <c r="C3" s="237" t="s">
        <v>220</v>
      </c>
      <c r="D3" s="237" t="s">
        <v>221</v>
      </c>
      <c r="E3" s="237" t="s">
        <v>220</v>
      </c>
      <c r="F3" s="237" t="s">
        <v>221</v>
      </c>
    </row>
    <row r="4" spans="1:6" ht="12.75">
      <c r="A4" s="115" t="s">
        <v>214</v>
      </c>
      <c r="B4" s="115">
        <v>179</v>
      </c>
      <c r="C4" s="115">
        <v>2.2</v>
      </c>
      <c r="D4" s="115">
        <v>3.58</v>
      </c>
      <c r="E4">
        <f>B4*C4</f>
        <v>393.8</v>
      </c>
      <c r="F4">
        <f>B4*D4</f>
        <v>640.82</v>
      </c>
    </row>
    <row r="5" spans="1:6" ht="12.75">
      <c r="A5" s="115" t="s">
        <v>215</v>
      </c>
      <c r="B5" s="115">
        <v>101</v>
      </c>
      <c r="C5" s="115">
        <v>3.3</v>
      </c>
      <c r="D5" s="115">
        <v>5.09</v>
      </c>
      <c r="E5">
        <f>B5*C5</f>
        <v>333.29999999999995</v>
      </c>
      <c r="F5">
        <f>B5*D5</f>
        <v>514.09</v>
      </c>
    </row>
    <row r="6" spans="1:6" ht="12.75">
      <c r="A6" s="115" t="s">
        <v>216</v>
      </c>
      <c r="B6" s="115">
        <v>43</v>
      </c>
      <c r="C6" s="115">
        <v>2.7</v>
      </c>
      <c r="D6" s="115">
        <v>4.95</v>
      </c>
      <c r="E6">
        <f>B6*C6</f>
        <v>116.10000000000001</v>
      </c>
      <c r="F6">
        <f>B6*D6</f>
        <v>212.85</v>
      </c>
    </row>
    <row r="7" spans="1:6" ht="12.75">
      <c r="A7" s="115" t="s">
        <v>217</v>
      </c>
      <c r="B7" s="115">
        <v>70</v>
      </c>
      <c r="C7" s="115">
        <v>3</v>
      </c>
      <c r="D7" s="115">
        <v>1.97</v>
      </c>
      <c r="E7">
        <f>B7*C7</f>
        <v>210</v>
      </c>
      <c r="F7">
        <f>B7*D7</f>
        <v>137.9</v>
      </c>
    </row>
    <row r="8" spans="1:6" ht="12.75">
      <c r="A8" s="115" t="s">
        <v>218</v>
      </c>
      <c r="B8" s="115">
        <v>379</v>
      </c>
      <c r="C8" s="115">
        <v>5.8</v>
      </c>
      <c r="D8" s="115">
        <v>4.23</v>
      </c>
      <c r="E8">
        <f>B8*C8</f>
        <v>2198.2</v>
      </c>
      <c r="F8">
        <f>B8*D8</f>
        <v>1603.17</v>
      </c>
    </row>
    <row r="9" spans="2:4" ht="12.75">
      <c r="B9">
        <f>SUM(B4:B8)</f>
        <v>772</v>
      </c>
      <c r="C9" s="168">
        <f>SUM(E4:E8)/B9</f>
        <v>4.211658031088082</v>
      </c>
      <c r="D9" s="168">
        <f>SUM(F4:F8)/B9</f>
        <v>4.026981865284974</v>
      </c>
    </row>
    <row r="12" spans="1:2" ht="12.75">
      <c r="A12" s="755" t="s">
        <v>225</v>
      </c>
      <c r="B12" s="756"/>
    </row>
    <row r="13" ht="12.75">
      <c r="B13" t="s">
        <v>208</v>
      </c>
    </row>
    <row r="14" spans="1:6" ht="12.75">
      <c r="A14">
        <v>-5.5</v>
      </c>
      <c r="B14" s="255">
        <f>10^A14</f>
        <v>3.1622776601683767E-06</v>
      </c>
      <c r="C14">
        <v>2</v>
      </c>
      <c r="D14" s="253">
        <f>C14/C$41*D$41</f>
        <v>6.076218041485769</v>
      </c>
      <c r="E14" s="254">
        <f>B14*D14</f>
        <v>1.9214688570902495E-05</v>
      </c>
      <c r="F14" s="254">
        <f>A14*D14</f>
        <v>-33.419199228171735</v>
      </c>
    </row>
    <row r="15" spans="1:6" ht="12.75">
      <c r="A15">
        <v>-5.25</v>
      </c>
      <c r="B15" s="255">
        <f aca="true" t="shared" si="0" ref="B15:B40">10^A15</f>
        <v>5.623413251903484E-06</v>
      </c>
      <c r="C15">
        <f>(C14+C16)/2</f>
        <v>4</v>
      </c>
      <c r="D15" s="253">
        <f aca="true" t="shared" si="1" ref="D15:D40">C15/C$41*D$41</f>
        <v>12.152436082971539</v>
      </c>
      <c r="E15" s="254">
        <f aca="true" t="shared" si="2" ref="E15:E40">B15*D15</f>
        <v>6.833817011189222E-05</v>
      </c>
      <c r="F15" s="254">
        <f aca="true" t="shared" si="3" ref="F15:F40">A15*D15</f>
        <v>-63.800289435600575</v>
      </c>
    </row>
    <row r="16" spans="1:6" ht="12.75">
      <c r="A16">
        <v>-5</v>
      </c>
      <c r="B16" s="255">
        <f t="shared" si="0"/>
        <v>1E-05</v>
      </c>
      <c r="C16">
        <v>6</v>
      </c>
      <c r="D16" s="253">
        <f t="shared" si="1"/>
        <v>18.228654124457307</v>
      </c>
      <c r="E16" s="254">
        <f t="shared" si="2"/>
        <v>0.0001822865412445731</v>
      </c>
      <c r="F16" s="254">
        <f t="shared" si="3"/>
        <v>-91.14327062228654</v>
      </c>
    </row>
    <row r="17" spans="1:6" ht="12.75">
      <c r="A17">
        <v>-4.75</v>
      </c>
      <c r="B17" s="255">
        <f t="shared" si="0"/>
        <v>1.7782794100389215E-05</v>
      </c>
      <c r="C17">
        <f>(C16+C18)/2</f>
        <v>12.5</v>
      </c>
      <c r="D17" s="253">
        <f t="shared" si="1"/>
        <v>37.97636275928606</v>
      </c>
      <c r="E17" s="254">
        <f t="shared" si="2"/>
        <v>0.0006753258396300729</v>
      </c>
      <c r="F17" s="254">
        <f t="shared" si="3"/>
        <v>-180.3877231066088</v>
      </c>
    </row>
    <row r="18" spans="1:6" ht="12.75">
      <c r="A18">
        <v>-4.5</v>
      </c>
      <c r="B18" s="255">
        <f t="shared" si="0"/>
        <v>3.162277660168375E-05</v>
      </c>
      <c r="C18">
        <v>19</v>
      </c>
      <c r="D18" s="253">
        <f t="shared" si="1"/>
        <v>57.72407139411481</v>
      </c>
      <c r="E18" s="254">
        <f t="shared" si="2"/>
        <v>0.0018253954142357358</v>
      </c>
      <c r="F18" s="254">
        <f t="shared" si="3"/>
        <v>-259.75832127351663</v>
      </c>
    </row>
    <row r="19" spans="1:6" ht="12.75">
      <c r="A19">
        <v>-4.25</v>
      </c>
      <c r="B19" s="255">
        <f t="shared" si="0"/>
        <v>5.623413251903489E-05</v>
      </c>
      <c r="C19">
        <f>(C18+C20)/2</f>
        <v>37</v>
      </c>
      <c r="D19" s="253">
        <f t="shared" si="1"/>
        <v>112.41003376748674</v>
      </c>
      <c r="E19" s="254">
        <f t="shared" si="2"/>
        <v>0.0063212807353500355</v>
      </c>
      <c r="F19" s="254">
        <f t="shared" si="3"/>
        <v>-477.74264351181864</v>
      </c>
    </row>
    <row r="20" spans="1:6" ht="12.75">
      <c r="A20">
        <v>-4</v>
      </c>
      <c r="B20" s="255">
        <f t="shared" si="0"/>
        <v>0.0001</v>
      </c>
      <c r="C20">
        <v>55</v>
      </c>
      <c r="D20" s="253">
        <f t="shared" si="1"/>
        <v>167.09599614085866</v>
      </c>
      <c r="E20" s="254">
        <f t="shared" si="2"/>
        <v>0.016709599614085868</v>
      </c>
      <c r="F20" s="254">
        <f t="shared" si="3"/>
        <v>-668.3839845634346</v>
      </c>
    </row>
    <row r="21" spans="1:6" ht="12.75">
      <c r="A21">
        <v>-3.75</v>
      </c>
      <c r="B21" s="255">
        <f t="shared" si="0"/>
        <v>0.00017782794100389203</v>
      </c>
      <c r="C21">
        <f>(C20+C22)/2</f>
        <v>75</v>
      </c>
      <c r="D21" s="253">
        <f t="shared" si="1"/>
        <v>227.85817655571634</v>
      </c>
      <c r="E21" s="254">
        <f t="shared" si="2"/>
        <v>0.04051955037780434</v>
      </c>
      <c r="F21" s="254">
        <f t="shared" si="3"/>
        <v>-854.4681620839362</v>
      </c>
    </row>
    <row r="22" spans="1:6" ht="12.75">
      <c r="A22">
        <v>-3.5</v>
      </c>
      <c r="B22" s="255">
        <f t="shared" si="0"/>
        <v>0.00031622776601683783</v>
      </c>
      <c r="C22">
        <v>95</v>
      </c>
      <c r="D22" s="253">
        <f t="shared" si="1"/>
        <v>288.62035697057405</v>
      </c>
      <c r="E22" s="254">
        <f t="shared" si="2"/>
        <v>0.09126977071178691</v>
      </c>
      <c r="F22" s="254">
        <f t="shared" si="3"/>
        <v>-1010.1712493970092</v>
      </c>
    </row>
    <row r="23" spans="1:6" ht="12.75">
      <c r="A23">
        <v>-3.25</v>
      </c>
      <c r="B23" s="255">
        <f t="shared" si="0"/>
        <v>0.0005623413251903486</v>
      </c>
      <c r="C23">
        <f>(C22+C24)/2</f>
        <v>99</v>
      </c>
      <c r="D23" s="253">
        <f t="shared" si="1"/>
        <v>300.77279305354557</v>
      </c>
      <c r="E23" s="254">
        <f t="shared" si="2"/>
        <v>0.16913697102693329</v>
      </c>
      <c r="F23" s="254">
        <f t="shared" si="3"/>
        <v>-977.5115774240231</v>
      </c>
    </row>
    <row r="24" spans="1:6" ht="12.75">
      <c r="A24">
        <v>-3</v>
      </c>
      <c r="B24" s="255">
        <f t="shared" si="0"/>
        <v>0.001</v>
      </c>
      <c r="C24">
        <v>103</v>
      </c>
      <c r="D24" s="253">
        <f t="shared" si="1"/>
        <v>312.9252291365171</v>
      </c>
      <c r="E24" s="254">
        <f t="shared" si="2"/>
        <v>0.3129252291365171</v>
      </c>
      <c r="F24" s="254">
        <f t="shared" si="3"/>
        <v>-938.7756874095512</v>
      </c>
    </row>
    <row r="25" spans="1:6" ht="12.75">
      <c r="A25">
        <v>-2.75</v>
      </c>
      <c r="B25" s="255">
        <f t="shared" si="0"/>
        <v>0.0017782794100389223</v>
      </c>
      <c r="C25">
        <f>(C24+C26)/2</f>
        <v>95.5</v>
      </c>
      <c r="D25" s="253">
        <f t="shared" si="1"/>
        <v>290.13941148094545</v>
      </c>
      <c r="E25" s="254">
        <f t="shared" si="2"/>
        <v>0.5159489414773758</v>
      </c>
      <c r="F25" s="254">
        <f t="shared" si="3"/>
        <v>-797.8833815726</v>
      </c>
    </row>
    <row r="26" spans="1:6" ht="12.75">
      <c r="A26">
        <v>-2.5</v>
      </c>
      <c r="B26" s="255">
        <f t="shared" si="0"/>
        <v>0.0031622776601683764</v>
      </c>
      <c r="C26">
        <v>88</v>
      </c>
      <c r="D26" s="253">
        <f t="shared" si="1"/>
        <v>267.3535938253738</v>
      </c>
      <c r="E26" s="254">
        <f t="shared" si="2"/>
        <v>0.8454462971197096</v>
      </c>
      <c r="F26" s="254">
        <f t="shared" si="3"/>
        <v>-668.3839845634345</v>
      </c>
    </row>
    <row r="27" spans="1:6" ht="12.75">
      <c r="A27">
        <v>-2.25</v>
      </c>
      <c r="B27" s="255">
        <f t="shared" si="0"/>
        <v>0.005623413251903487</v>
      </c>
      <c r="C27">
        <f>(C26+C28)/2</f>
        <v>75.5</v>
      </c>
      <c r="D27" s="253">
        <f t="shared" si="1"/>
        <v>229.37723106608777</v>
      </c>
      <c r="E27" s="254">
        <f t="shared" si="2"/>
        <v>1.2898829608619662</v>
      </c>
      <c r="F27" s="254">
        <f t="shared" si="3"/>
        <v>-516.0987698986975</v>
      </c>
    </row>
    <row r="28" spans="1:6" ht="12.75">
      <c r="A28">
        <v>-2</v>
      </c>
      <c r="B28" s="255">
        <f t="shared" si="0"/>
        <v>0.01</v>
      </c>
      <c r="C28">
        <v>63</v>
      </c>
      <c r="D28" s="253">
        <f t="shared" si="1"/>
        <v>191.40086830680175</v>
      </c>
      <c r="E28" s="254">
        <f t="shared" si="2"/>
        <v>1.9140086830680176</v>
      </c>
      <c r="F28" s="254">
        <f t="shared" si="3"/>
        <v>-382.8017366136035</v>
      </c>
    </row>
    <row r="29" spans="1:6" ht="12.75">
      <c r="A29">
        <v>-1.75</v>
      </c>
      <c r="B29" s="255">
        <f t="shared" si="0"/>
        <v>0.017782794100389226</v>
      </c>
      <c r="C29">
        <f>(C28+C30)/2</f>
        <v>51</v>
      </c>
      <c r="D29" s="253">
        <f t="shared" si="1"/>
        <v>154.94356005788714</v>
      </c>
      <c r="E29" s="254">
        <f t="shared" si="2"/>
        <v>2.7553294256906993</v>
      </c>
      <c r="F29" s="254">
        <f t="shared" si="3"/>
        <v>-271.1512301013025</v>
      </c>
    </row>
    <row r="30" spans="1:6" ht="12.75">
      <c r="A30">
        <v>-1.5</v>
      </c>
      <c r="B30" s="255">
        <f t="shared" si="0"/>
        <v>0.031622776601683784</v>
      </c>
      <c r="C30">
        <v>39</v>
      </c>
      <c r="D30" s="253">
        <f t="shared" si="1"/>
        <v>118.48625180897251</v>
      </c>
      <c r="E30" s="254">
        <f t="shared" si="2"/>
        <v>3.7468642713259888</v>
      </c>
      <c r="F30" s="254">
        <f t="shared" si="3"/>
        <v>-177.72937771345877</v>
      </c>
    </row>
    <row r="31" spans="1:6" ht="12.75">
      <c r="A31">
        <v>-1.25</v>
      </c>
      <c r="B31" s="255">
        <f t="shared" si="0"/>
        <v>0.056234132519034884</v>
      </c>
      <c r="C31">
        <f>(C30+C32)/2</f>
        <v>31.5</v>
      </c>
      <c r="D31" s="253">
        <f t="shared" si="1"/>
        <v>95.70043415340088</v>
      </c>
      <c r="E31" s="254">
        <f t="shared" si="2"/>
        <v>5.381630896311517</v>
      </c>
      <c r="F31" s="254">
        <f t="shared" si="3"/>
        <v>-119.6255426917511</v>
      </c>
    </row>
    <row r="32" spans="1:6" ht="12.75">
      <c r="A32">
        <v>-1</v>
      </c>
      <c r="B32" s="255">
        <f t="shared" si="0"/>
        <v>0.1</v>
      </c>
      <c r="C32">
        <v>24</v>
      </c>
      <c r="D32" s="253">
        <f t="shared" si="1"/>
        <v>72.91461649782923</v>
      </c>
      <c r="E32" s="254">
        <f t="shared" si="2"/>
        <v>7.291461649782923</v>
      </c>
      <c r="F32" s="254">
        <f t="shared" si="3"/>
        <v>-72.91461649782923</v>
      </c>
    </row>
    <row r="33" spans="1:6" ht="12.75">
      <c r="A33">
        <v>-0.75</v>
      </c>
      <c r="B33" s="255">
        <f t="shared" si="0"/>
        <v>0.17782794100389224</v>
      </c>
      <c r="C33">
        <f>(C32+C34)/2</f>
        <v>19</v>
      </c>
      <c r="D33" s="253">
        <f t="shared" si="1"/>
        <v>57.72407139411481</v>
      </c>
      <c r="E33" s="254">
        <f t="shared" si="2"/>
        <v>10.264952762377112</v>
      </c>
      <c r="F33" s="254">
        <f t="shared" si="3"/>
        <v>-43.293053545586105</v>
      </c>
    </row>
    <row r="34" spans="1:6" ht="12.75">
      <c r="A34">
        <v>-0.5</v>
      </c>
      <c r="B34" s="255">
        <f t="shared" si="0"/>
        <v>0.31622776601683794</v>
      </c>
      <c r="C34">
        <v>14</v>
      </c>
      <c r="D34" s="253">
        <f t="shared" si="1"/>
        <v>42.53352629040039</v>
      </c>
      <c r="E34" s="254">
        <f t="shared" si="2"/>
        <v>13.450281999631759</v>
      </c>
      <c r="F34" s="254">
        <f t="shared" si="3"/>
        <v>-21.266763145200194</v>
      </c>
    </row>
    <row r="35" spans="1:6" ht="12.75">
      <c r="A35">
        <v>-0.25</v>
      </c>
      <c r="B35" s="255">
        <f t="shared" si="0"/>
        <v>0.5623413251903491</v>
      </c>
      <c r="C35">
        <f>(C34+C36)/2</f>
        <v>10.5</v>
      </c>
      <c r="D35" s="253">
        <f t="shared" si="1"/>
        <v>31.900144717800288</v>
      </c>
      <c r="E35" s="254">
        <f t="shared" si="2"/>
        <v>17.93876965437173</v>
      </c>
      <c r="F35" s="254">
        <f t="shared" si="3"/>
        <v>-7.975036179450072</v>
      </c>
    </row>
    <row r="36" spans="1:6" ht="12.75">
      <c r="A36">
        <v>0</v>
      </c>
      <c r="B36" s="255">
        <f t="shared" si="0"/>
        <v>1</v>
      </c>
      <c r="C36">
        <v>7</v>
      </c>
      <c r="D36" s="253">
        <f t="shared" si="1"/>
        <v>21.266763145200194</v>
      </c>
      <c r="E36" s="254">
        <f t="shared" si="2"/>
        <v>21.266763145200194</v>
      </c>
      <c r="F36" s="254">
        <f t="shared" si="3"/>
        <v>0</v>
      </c>
    </row>
    <row r="37" spans="1:6" ht="12.75">
      <c r="A37">
        <v>0.25</v>
      </c>
      <c r="B37" s="255">
        <f t="shared" si="0"/>
        <v>1.778279410038923</v>
      </c>
      <c r="C37">
        <f>(C36+C38)/2</f>
        <v>5</v>
      </c>
      <c r="D37" s="253">
        <f t="shared" si="1"/>
        <v>15.190545103714424</v>
      </c>
      <c r="E37" s="254">
        <f t="shared" si="2"/>
        <v>27.013033585202937</v>
      </c>
      <c r="F37" s="254">
        <f t="shared" si="3"/>
        <v>3.797636275928606</v>
      </c>
    </row>
    <row r="38" spans="1:6" ht="12.75">
      <c r="A38">
        <v>0.5</v>
      </c>
      <c r="B38" s="255">
        <f t="shared" si="0"/>
        <v>3.1622776601683795</v>
      </c>
      <c r="C38">
        <v>3</v>
      </c>
      <c r="D38" s="253">
        <f t="shared" si="1"/>
        <v>9.114327062228654</v>
      </c>
      <c r="E38" s="254">
        <f t="shared" si="2"/>
        <v>28.82203285635377</v>
      </c>
      <c r="F38" s="254">
        <f t="shared" si="3"/>
        <v>4.557163531114327</v>
      </c>
    </row>
    <row r="39" spans="1:6" ht="12.75">
      <c r="A39">
        <v>0.75</v>
      </c>
      <c r="B39" s="255">
        <f t="shared" si="0"/>
        <v>5.623413251903492</v>
      </c>
      <c r="C39">
        <f>(C38+C40)/2</f>
        <v>2</v>
      </c>
      <c r="D39" s="253">
        <f t="shared" si="1"/>
        <v>6.076218041485769</v>
      </c>
      <c r="E39" s="254">
        <f t="shared" si="2"/>
        <v>34.169085055946155</v>
      </c>
      <c r="F39" s="254">
        <f t="shared" si="3"/>
        <v>4.557163531114327</v>
      </c>
    </row>
    <row r="40" spans="1:6" ht="12.75">
      <c r="A40">
        <v>1</v>
      </c>
      <c r="B40" s="255">
        <f t="shared" si="0"/>
        <v>10</v>
      </c>
      <c r="C40">
        <v>1</v>
      </c>
      <c r="D40" s="253">
        <f t="shared" si="1"/>
        <v>3.0381090207428847</v>
      </c>
      <c r="E40" s="254">
        <f t="shared" si="2"/>
        <v>30.381090207428848</v>
      </c>
      <c r="F40" s="254">
        <f t="shared" si="3"/>
        <v>3.0381090207428847</v>
      </c>
    </row>
    <row r="41" spans="1:6" ht="12.75">
      <c r="A41" s="235">
        <f>F41/D41</f>
        <v>-2.736975397973951</v>
      </c>
      <c r="B41" s="255">
        <f>E41/D41</f>
        <v>0.06595307569209495</v>
      </c>
      <c r="C41">
        <f>SUM(C14:C40)</f>
        <v>1036.5</v>
      </c>
      <c r="D41">
        <v>3149</v>
      </c>
      <c r="E41" s="254">
        <f>SUM(E14:E40)</f>
        <v>207.686235354407</v>
      </c>
      <c r="F41" s="254">
        <f>SUM(F14:F40)</f>
        <v>-8618.735528219971</v>
      </c>
    </row>
    <row r="42" ht="12.75">
      <c r="C42" s="253"/>
    </row>
    <row r="43" ht="12.75">
      <c r="B43">
        <f>B41*2</f>
        <v>0.1319061513841899</v>
      </c>
    </row>
    <row r="45" spans="1:5" ht="36">
      <c r="A45">
        <v>27639192</v>
      </c>
      <c r="C45" s="256" t="s">
        <v>226</v>
      </c>
      <c r="D45" s="256" t="s">
        <v>227</v>
      </c>
      <c r="E45" s="256" t="s">
        <v>228</v>
      </c>
    </row>
    <row r="46" spans="1:2" ht="12.75">
      <c r="A46">
        <v>100000</v>
      </c>
      <c r="B46">
        <v>122</v>
      </c>
    </row>
    <row r="47" spans="1:5" ht="12.75">
      <c r="A47">
        <v>1</v>
      </c>
      <c r="B47">
        <v>101</v>
      </c>
      <c r="C47" s="2">
        <f>B47/B$46*A$46</f>
        <v>82786.88524590165</v>
      </c>
      <c r="D47" s="2">
        <f>C47*10</f>
        <v>827868.8524590165</v>
      </c>
      <c r="E47" s="234">
        <f>D47/100</f>
        <v>8278.688524590165</v>
      </c>
    </row>
    <row r="48" spans="1:5" ht="12.75">
      <c r="A48">
        <f>A47+1</f>
        <v>2</v>
      </c>
      <c r="B48">
        <v>66</v>
      </c>
      <c r="C48" s="2">
        <f aca="true" t="shared" si="4" ref="C48:C72">B48/B$46*A$46</f>
        <v>54098.360655737706</v>
      </c>
      <c r="D48" s="2">
        <f aca="true" t="shared" si="5" ref="D48:D72">C48*10</f>
        <v>540983.606557377</v>
      </c>
      <c r="E48" s="234">
        <f aca="true" t="shared" si="6" ref="E48:E72">D48/100</f>
        <v>5409.836065573771</v>
      </c>
    </row>
    <row r="49" spans="1:5" ht="12.75">
      <c r="A49">
        <f aca="true" t="shared" si="7" ref="A49:A72">A48+1</f>
        <v>3</v>
      </c>
      <c r="B49">
        <v>54.5</v>
      </c>
      <c r="C49" s="2">
        <f t="shared" si="4"/>
        <v>44672.13114754098</v>
      </c>
      <c r="D49" s="2">
        <f t="shared" si="5"/>
        <v>446721.31147540984</v>
      </c>
      <c r="E49" s="234">
        <f t="shared" si="6"/>
        <v>4467.213114754099</v>
      </c>
    </row>
    <row r="50" spans="1:5" ht="12.75">
      <c r="A50">
        <f t="shared" si="7"/>
        <v>4</v>
      </c>
      <c r="B50">
        <v>53.3</v>
      </c>
      <c r="C50" s="2">
        <f t="shared" si="4"/>
        <v>43688.52459016393</v>
      </c>
      <c r="D50" s="2">
        <f t="shared" si="5"/>
        <v>436885.2459016393</v>
      </c>
      <c r="E50" s="234">
        <f t="shared" si="6"/>
        <v>4368.8524590163925</v>
      </c>
    </row>
    <row r="51" spans="1:5" ht="12.75">
      <c r="A51">
        <f t="shared" si="7"/>
        <v>5</v>
      </c>
      <c r="B51">
        <v>53</v>
      </c>
      <c r="C51" s="2">
        <f t="shared" si="4"/>
        <v>43442.62295081967</v>
      </c>
      <c r="D51" s="2">
        <f t="shared" si="5"/>
        <v>434426.2295081967</v>
      </c>
      <c r="E51" s="234">
        <f t="shared" si="6"/>
        <v>4344.262295081967</v>
      </c>
    </row>
    <row r="52" spans="1:5" ht="12.75">
      <c r="A52">
        <f t="shared" si="7"/>
        <v>6</v>
      </c>
      <c r="B52">
        <v>40.4</v>
      </c>
      <c r="C52" s="2">
        <f t="shared" si="4"/>
        <v>33114.75409836065</v>
      </c>
      <c r="D52" s="2">
        <f t="shared" si="5"/>
        <v>331147.54098360654</v>
      </c>
      <c r="E52" s="234">
        <f t="shared" si="6"/>
        <v>3311.4754098360654</v>
      </c>
    </row>
    <row r="53" spans="1:5" ht="12.75">
      <c r="A53">
        <f t="shared" si="7"/>
        <v>7</v>
      </c>
      <c r="B53">
        <v>39</v>
      </c>
      <c r="C53" s="2">
        <f t="shared" si="4"/>
        <v>31967.2131147541</v>
      </c>
      <c r="D53" s="2">
        <f t="shared" si="5"/>
        <v>319672.131147541</v>
      </c>
      <c r="E53" s="234">
        <f t="shared" si="6"/>
        <v>3196.72131147541</v>
      </c>
    </row>
    <row r="54" spans="1:5" ht="12.75">
      <c r="A54">
        <f t="shared" si="7"/>
        <v>8</v>
      </c>
      <c r="B54">
        <v>34</v>
      </c>
      <c r="C54" s="2">
        <f t="shared" si="4"/>
        <v>27868.85245901639</v>
      </c>
      <c r="D54" s="2">
        <f t="shared" si="5"/>
        <v>278688.5245901639</v>
      </c>
      <c r="E54" s="234">
        <f t="shared" si="6"/>
        <v>2786.885245901639</v>
      </c>
    </row>
    <row r="55" spans="1:5" ht="12.75">
      <c r="A55">
        <f t="shared" si="7"/>
        <v>9</v>
      </c>
      <c r="B55">
        <v>32</v>
      </c>
      <c r="C55" s="2">
        <f t="shared" si="4"/>
        <v>26229.508196721312</v>
      </c>
      <c r="D55" s="2">
        <f t="shared" si="5"/>
        <v>262295.08196721313</v>
      </c>
      <c r="E55" s="234">
        <f t="shared" si="6"/>
        <v>2622.9508196721313</v>
      </c>
    </row>
    <row r="56" spans="1:5" ht="12.75">
      <c r="A56">
        <f t="shared" si="7"/>
        <v>10</v>
      </c>
      <c r="B56">
        <v>31</v>
      </c>
      <c r="C56" s="2">
        <f t="shared" si="4"/>
        <v>25409.83606557377</v>
      </c>
      <c r="D56" s="2">
        <f t="shared" si="5"/>
        <v>254098.3606557377</v>
      </c>
      <c r="E56" s="234">
        <f t="shared" si="6"/>
        <v>2540.983606557377</v>
      </c>
    </row>
    <row r="57" spans="1:5" ht="12.75">
      <c r="A57">
        <f t="shared" si="7"/>
        <v>11</v>
      </c>
      <c r="B57">
        <v>29.5</v>
      </c>
      <c r="C57" s="2">
        <f t="shared" si="4"/>
        <v>24180.32786885246</v>
      </c>
      <c r="D57" s="2">
        <f t="shared" si="5"/>
        <v>241803.2786885246</v>
      </c>
      <c r="E57" s="234">
        <f t="shared" si="6"/>
        <v>2418.032786885246</v>
      </c>
    </row>
    <row r="58" spans="1:5" ht="12.75">
      <c r="A58">
        <f t="shared" si="7"/>
        <v>12</v>
      </c>
      <c r="B58">
        <v>28.5</v>
      </c>
      <c r="C58" s="2">
        <f t="shared" si="4"/>
        <v>23360.655737704918</v>
      </c>
      <c r="D58" s="2">
        <f t="shared" si="5"/>
        <v>233606.55737704918</v>
      </c>
      <c r="E58" s="234">
        <f t="shared" si="6"/>
        <v>2336.065573770492</v>
      </c>
    </row>
    <row r="59" spans="1:5" ht="12.75">
      <c r="A59">
        <f t="shared" si="7"/>
        <v>13</v>
      </c>
      <c r="B59">
        <v>26</v>
      </c>
      <c r="C59" s="2">
        <f t="shared" si="4"/>
        <v>21311.475409836065</v>
      </c>
      <c r="D59" s="2">
        <f t="shared" si="5"/>
        <v>213114.75409836066</v>
      </c>
      <c r="E59" s="234">
        <f t="shared" si="6"/>
        <v>2131.1475409836066</v>
      </c>
    </row>
    <row r="60" spans="1:5" ht="12.75">
      <c r="A60">
        <f t="shared" si="7"/>
        <v>14</v>
      </c>
      <c r="B60">
        <v>26</v>
      </c>
      <c r="C60" s="2">
        <f t="shared" si="4"/>
        <v>21311.475409836065</v>
      </c>
      <c r="D60" s="2">
        <f t="shared" si="5"/>
        <v>213114.75409836066</v>
      </c>
      <c r="E60" s="234">
        <f t="shared" si="6"/>
        <v>2131.1475409836066</v>
      </c>
    </row>
    <row r="61" spans="1:5" ht="12.75">
      <c r="A61">
        <f t="shared" si="7"/>
        <v>15</v>
      </c>
      <c r="B61">
        <v>25</v>
      </c>
      <c r="C61" s="2">
        <f t="shared" si="4"/>
        <v>20491.803278688527</v>
      </c>
      <c r="D61" s="2">
        <f t="shared" si="5"/>
        <v>204918.03278688528</v>
      </c>
      <c r="E61" s="234">
        <f t="shared" si="6"/>
        <v>2049.1803278688526</v>
      </c>
    </row>
    <row r="62" spans="1:5" ht="12.75">
      <c r="A62">
        <f t="shared" si="7"/>
        <v>16</v>
      </c>
      <c r="B62">
        <v>20</v>
      </c>
      <c r="C62" s="2">
        <f t="shared" si="4"/>
        <v>16393.442622950817</v>
      </c>
      <c r="D62" s="2">
        <f t="shared" si="5"/>
        <v>163934.4262295082</v>
      </c>
      <c r="E62" s="234">
        <f t="shared" si="6"/>
        <v>1639.3442622950818</v>
      </c>
    </row>
    <row r="63" spans="1:5" ht="12.75">
      <c r="A63">
        <f t="shared" si="7"/>
        <v>17</v>
      </c>
      <c r="B63">
        <v>20</v>
      </c>
      <c r="C63" s="2">
        <f t="shared" si="4"/>
        <v>16393.442622950817</v>
      </c>
      <c r="D63" s="2">
        <f t="shared" si="5"/>
        <v>163934.4262295082</v>
      </c>
      <c r="E63" s="234">
        <f t="shared" si="6"/>
        <v>1639.3442622950818</v>
      </c>
    </row>
    <row r="64" spans="1:5" ht="12.75">
      <c r="A64">
        <f t="shared" si="7"/>
        <v>18</v>
      </c>
      <c r="B64">
        <v>18</v>
      </c>
      <c r="C64" s="2">
        <f t="shared" si="4"/>
        <v>14754.098360655737</v>
      </c>
      <c r="D64" s="2">
        <f t="shared" si="5"/>
        <v>147540.98360655736</v>
      </c>
      <c r="E64" s="234">
        <f t="shared" si="6"/>
        <v>1475.4098360655737</v>
      </c>
    </row>
    <row r="65" spans="1:5" ht="12.75">
      <c r="A65">
        <f t="shared" si="7"/>
        <v>19</v>
      </c>
      <c r="B65">
        <v>13</v>
      </c>
      <c r="C65" s="2">
        <f t="shared" si="4"/>
        <v>10655.737704918032</v>
      </c>
      <c r="D65" s="2">
        <f t="shared" si="5"/>
        <v>106557.37704918033</v>
      </c>
      <c r="E65" s="234">
        <f t="shared" si="6"/>
        <v>1065.5737704918033</v>
      </c>
    </row>
    <row r="66" spans="1:5" ht="12.75">
      <c r="A66">
        <f t="shared" si="7"/>
        <v>20</v>
      </c>
      <c r="B66">
        <v>12</v>
      </c>
      <c r="C66" s="2">
        <f t="shared" si="4"/>
        <v>9836.065573770491</v>
      </c>
      <c r="D66" s="2">
        <f t="shared" si="5"/>
        <v>98360.65573770492</v>
      </c>
      <c r="E66" s="234">
        <f t="shared" si="6"/>
        <v>983.6065573770492</v>
      </c>
    </row>
    <row r="67" spans="1:5" ht="12.75">
      <c r="A67">
        <f t="shared" si="7"/>
        <v>21</v>
      </c>
      <c r="B67">
        <v>12</v>
      </c>
      <c r="C67" s="2">
        <f t="shared" si="4"/>
        <v>9836.065573770491</v>
      </c>
      <c r="D67" s="2">
        <f t="shared" si="5"/>
        <v>98360.65573770492</v>
      </c>
      <c r="E67" s="234">
        <f t="shared" si="6"/>
        <v>983.6065573770492</v>
      </c>
    </row>
    <row r="68" spans="1:5" ht="12.75">
      <c r="A68">
        <f t="shared" si="7"/>
        <v>22</v>
      </c>
      <c r="B68">
        <v>8</v>
      </c>
      <c r="C68" s="2">
        <f t="shared" si="4"/>
        <v>6557.377049180328</v>
      </c>
      <c r="D68" s="2">
        <f t="shared" si="5"/>
        <v>65573.77049180328</v>
      </c>
      <c r="E68" s="234">
        <f t="shared" si="6"/>
        <v>655.7377049180328</v>
      </c>
    </row>
    <row r="69" spans="1:5" ht="12.75">
      <c r="A69">
        <f t="shared" si="7"/>
        <v>23</v>
      </c>
      <c r="B69">
        <v>5</v>
      </c>
      <c r="C69" s="2">
        <f t="shared" si="4"/>
        <v>4098.360655737704</v>
      </c>
      <c r="D69" s="2">
        <f t="shared" si="5"/>
        <v>40983.60655737705</v>
      </c>
      <c r="E69" s="234">
        <f t="shared" si="6"/>
        <v>409.83606557377044</v>
      </c>
    </row>
    <row r="70" spans="1:5" ht="12.75">
      <c r="A70">
        <f t="shared" si="7"/>
        <v>24</v>
      </c>
      <c r="B70">
        <v>4.5</v>
      </c>
      <c r="C70" s="2">
        <f t="shared" si="4"/>
        <v>3688.524590163934</v>
      </c>
      <c r="D70" s="2">
        <f t="shared" si="5"/>
        <v>36885.24590163934</v>
      </c>
      <c r="E70" s="234">
        <f t="shared" si="6"/>
        <v>368.8524590163934</v>
      </c>
    </row>
    <row r="71" spans="1:5" ht="12.75">
      <c r="A71">
        <f t="shared" si="7"/>
        <v>25</v>
      </c>
      <c r="B71">
        <v>3</v>
      </c>
      <c r="C71" s="2">
        <f t="shared" si="4"/>
        <v>2459.0163934426228</v>
      </c>
      <c r="D71" s="2">
        <f t="shared" si="5"/>
        <v>24590.16393442623</v>
      </c>
      <c r="E71" s="234">
        <f t="shared" si="6"/>
        <v>245.9016393442623</v>
      </c>
    </row>
    <row r="72" spans="1:5" ht="12.75">
      <c r="A72">
        <f t="shared" si="7"/>
        <v>26</v>
      </c>
      <c r="B72">
        <v>0</v>
      </c>
      <c r="C72" s="2">
        <f t="shared" si="4"/>
        <v>0</v>
      </c>
      <c r="D72" s="2">
        <f t="shared" si="5"/>
        <v>0</v>
      </c>
      <c r="E72" s="234">
        <f t="shared" si="6"/>
        <v>0</v>
      </c>
    </row>
    <row r="73" spans="3:5" ht="12.75">
      <c r="C73" s="2">
        <f>SUM(C47:C72)/26</f>
        <v>23792.55989911727</v>
      </c>
      <c r="D73" s="2">
        <f>SUM(D47:D72)/26</f>
        <v>237925.59899117274</v>
      </c>
      <c r="E73" s="2">
        <f>SUM(E47:E72)/26</f>
        <v>2379.255989911728</v>
      </c>
    </row>
  </sheetData>
  <mergeCells count="1">
    <mergeCell ref="A12:B12"/>
  </mergeCell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H97"/>
  <sheetViews>
    <sheetView workbookViewId="0" topLeftCell="A1">
      <selection activeCell="A1" sqref="A1"/>
    </sheetView>
  </sheetViews>
  <sheetFormatPr defaultColWidth="9.00390625" defaultRowHeight="12.75"/>
  <cols>
    <col min="1" max="1" width="30.50390625" style="236" customWidth="1"/>
    <col min="2" max="2" width="8.875" style="236" customWidth="1"/>
    <col min="3" max="3" width="7.50390625" style="236" customWidth="1"/>
    <col min="4" max="4" width="25.00390625" style="236" customWidth="1"/>
    <col min="5" max="5" width="11.25390625" style="236" customWidth="1"/>
    <col min="6" max="16384" width="8.875" style="236" customWidth="1"/>
  </cols>
  <sheetData>
    <row r="1" spans="1:5" ht="12">
      <c r="A1" s="427" t="s">
        <v>202</v>
      </c>
      <c r="B1" s="428"/>
      <c r="C1" s="428" t="s">
        <v>341</v>
      </c>
      <c r="D1" s="428" t="s">
        <v>342</v>
      </c>
      <c r="E1" s="429" t="s">
        <v>343</v>
      </c>
    </row>
    <row r="2" spans="1:5" ht="36">
      <c r="A2" s="415" t="s">
        <v>352</v>
      </c>
      <c r="B2" s="392">
        <v>150</v>
      </c>
      <c r="C2" s="392" t="s">
        <v>193</v>
      </c>
      <c r="D2" s="391" t="s">
        <v>346</v>
      </c>
      <c r="E2" s="416" t="s">
        <v>340</v>
      </c>
    </row>
    <row r="3" spans="1:5" ht="12">
      <c r="A3" s="415" t="s">
        <v>333</v>
      </c>
      <c r="B3" s="396">
        <v>0.2</v>
      </c>
      <c r="C3" s="392"/>
      <c r="D3" s="393" t="s">
        <v>370</v>
      </c>
      <c r="E3" s="416"/>
    </row>
    <row r="4" spans="1:5" ht="12">
      <c r="A4" s="415" t="s">
        <v>344</v>
      </c>
      <c r="B4" s="397">
        <f>B2*B3</f>
        <v>30</v>
      </c>
      <c r="C4" s="392" t="s">
        <v>193</v>
      </c>
      <c r="D4" s="392"/>
      <c r="E4" s="416"/>
    </row>
    <row r="5" spans="1:5" ht="12">
      <c r="A5" s="415" t="s">
        <v>345</v>
      </c>
      <c r="B5" s="394">
        <v>0.2</v>
      </c>
      <c r="C5" s="392"/>
      <c r="D5" s="392" t="s">
        <v>334</v>
      </c>
      <c r="E5" s="416"/>
    </row>
    <row r="6" spans="1:5" ht="12">
      <c r="A6" s="415" t="s">
        <v>335</v>
      </c>
      <c r="B6" s="398">
        <f>B4*B5</f>
        <v>6</v>
      </c>
      <c r="C6" s="392" t="s">
        <v>193</v>
      </c>
      <c r="D6" s="392"/>
      <c r="E6" s="416"/>
    </row>
    <row r="7" spans="1:5" ht="12">
      <c r="A7" s="415"/>
      <c r="B7" s="398"/>
      <c r="C7" s="392"/>
      <c r="D7" s="392"/>
      <c r="E7" s="416"/>
    </row>
    <row r="8" spans="1:5" ht="12">
      <c r="A8" s="430" t="s">
        <v>347</v>
      </c>
      <c r="B8" s="396">
        <v>0.05</v>
      </c>
      <c r="C8" s="395"/>
      <c r="D8" s="393" t="s">
        <v>353</v>
      </c>
      <c r="E8" s="431" t="s">
        <v>389</v>
      </c>
    </row>
    <row r="9" spans="1:5" ht="12">
      <c r="A9" s="430"/>
      <c r="B9" s="399">
        <f>B2*B8</f>
        <v>7.5</v>
      </c>
      <c r="C9" s="395" t="s">
        <v>193</v>
      </c>
      <c r="D9" s="395" t="s">
        <v>354</v>
      </c>
      <c r="E9" s="431" t="s">
        <v>389</v>
      </c>
    </row>
    <row r="10" spans="1:5" ht="12">
      <c r="A10" s="430"/>
      <c r="B10" s="399"/>
      <c r="C10" s="395"/>
      <c r="D10" s="395"/>
      <c r="E10" s="431"/>
    </row>
    <row r="11" spans="1:5" ht="12">
      <c r="A11" s="417" t="s">
        <v>348</v>
      </c>
      <c r="B11" s="394">
        <v>0.9</v>
      </c>
      <c r="C11" s="392"/>
      <c r="D11" s="392"/>
      <c r="E11" s="416"/>
    </row>
    <row r="12" spans="1:5" ht="12">
      <c r="A12" s="415" t="s">
        <v>336</v>
      </c>
      <c r="B12" s="397">
        <f>B6*B11</f>
        <v>5.4</v>
      </c>
      <c r="C12" s="392" t="s">
        <v>193</v>
      </c>
      <c r="D12" s="392"/>
      <c r="E12" s="416"/>
    </row>
    <row r="13" spans="1:5" ht="12">
      <c r="A13" s="415" t="s">
        <v>355</v>
      </c>
      <c r="B13" s="392">
        <v>4.32</v>
      </c>
      <c r="C13" s="392" t="s">
        <v>193</v>
      </c>
      <c r="D13" s="394"/>
      <c r="E13" s="416"/>
    </row>
    <row r="14" spans="1:5" ht="12">
      <c r="A14" s="415" t="s">
        <v>356</v>
      </c>
      <c r="B14" s="392">
        <v>0.04772</v>
      </c>
      <c r="C14" s="258"/>
      <c r="D14" s="392" t="s">
        <v>337</v>
      </c>
      <c r="E14" s="416"/>
    </row>
    <row r="15" spans="1:5" ht="12">
      <c r="A15" s="415"/>
      <c r="B15" s="397">
        <f>B13*B14</f>
        <v>0.2061504</v>
      </c>
      <c r="C15" s="392" t="s">
        <v>193</v>
      </c>
      <c r="D15" s="392" t="s">
        <v>337</v>
      </c>
      <c r="E15" s="416"/>
    </row>
    <row r="16" spans="1:5" ht="12">
      <c r="A16" s="415"/>
      <c r="B16" s="392"/>
      <c r="C16" s="392"/>
      <c r="D16" s="392"/>
      <c r="E16" s="416"/>
    </row>
    <row r="17" spans="1:5" ht="12">
      <c r="A17" s="415" t="s">
        <v>351</v>
      </c>
      <c r="B17" s="400">
        <v>1.66E-24</v>
      </c>
      <c r="C17" s="392" t="s">
        <v>193</v>
      </c>
      <c r="D17" s="392"/>
      <c r="E17" s="416"/>
    </row>
    <row r="18" spans="1:5" ht="12">
      <c r="A18" s="415" t="s">
        <v>373</v>
      </c>
      <c r="B18" s="400">
        <v>1E-12</v>
      </c>
      <c r="C18" s="392" t="s">
        <v>193</v>
      </c>
      <c r="D18" s="408" t="s">
        <v>374</v>
      </c>
      <c r="E18" s="416"/>
    </row>
    <row r="19" spans="1:5" ht="12">
      <c r="A19" s="415"/>
      <c r="B19" s="407"/>
      <c r="C19" s="392"/>
      <c r="D19" s="392"/>
      <c r="E19" s="416"/>
    </row>
    <row r="20" spans="1:5" ht="12">
      <c r="A20" s="415" t="s">
        <v>349</v>
      </c>
      <c r="B20" s="401">
        <f>B4/B18</f>
        <v>30000000000000</v>
      </c>
      <c r="C20" s="392"/>
      <c r="D20" s="392" t="s">
        <v>350</v>
      </c>
      <c r="E20" s="416" t="s">
        <v>340</v>
      </c>
    </row>
    <row r="21" spans="1:5" ht="12">
      <c r="A21" s="415" t="s">
        <v>359</v>
      </c>
      <c r="B21" s="401">
        <f>B15/B20</f>
        <v>6.8716800000000005E-15</v>
      </c>
      <c r="C21" s="392" t="s">
        <v>357</v>
      </c>
      <c r="D21" s="392"/>
      <c r="E21" s="416"/>
    </row>
    <row r="22" spans="1:5" ht="12">
      <c r="A22" s="415" t="s">
        <v>360</v>
      </c>
      <c r="B22" s="402">
        <v>492</v>
      </c>
      <c r="C22" s="392" t="s">
        <v>204</v>
      </c>
      <c r="D22" s="392"/>
      <c r="E22" s="416"/>
    </row>
    <row r="23" spans="1:5" ht="12">
      <c r="A23" s="415" t="s">
        <v>361</v>
      </c>
      <c r="B23" s="403">
        <f>B22*B17</f>
        <v>8.1672E-22</v>
      </c>
      <c r="C23" s="392" t="s">
        <v>193</v>
      </c>
      <c r="D23" s="392"/>
      <c r="E23" s="416"/>
    </row>
    <row r="24" spans="1:5" ht="12.75" thickBot="1">
      <c r="A24" s="418" t="s">
        <v>359</v>
      </c>
      <c r="B24" s="432">
        <f>B21/B23</f>
        <v>8413752.571260653</v>
      </c>
      <c r="C24" s="420" t="s">
        <v>358</v>
      </c>
      <c r="D24" s="420" t="s">
        <v>338</v>
      </c>
      <c r="E24" s="421"/>
    </row>
    <row r="25" spans="1:5" ht="12.75" thickBot="1">
      <c r="A25" s="406"/>
      <c r="B25" s="426"/>
      <c r="C25" s="406"/>
      <c r="D25" s="406"/>
      <c r="E25" s="406"/>
    </row>
    <row r="26" spans="1:5" ht="12">
      <c r="A26" s="422" t="s">
        <v>388</v>
      </c>
      <c r="B26" s="423"/>
      <c r="C26" s="424"/>
      <c r="D26" s="424"/>
      <c r="E26" s="425"/>
    </row>
    <row r="27" spans="1:5" ht="12">
      <c r="A27" s="415" t="s">
        <v>362</v>
      </c>
      <c r="B27" s="405">
        <v>1227.434</v>
      </c>
      <c r="C27" s="392" t="s">
        <v>204</v>
      </c>
      <c r="D27" s="392"/>
      <c r="E27" s="416"/>
    </row>
    <row r="28" spans="1:5" ht="12">
      <c r="A28" s="415" t="s">
        <v>363</v>
      </c>
      <c r="B28" s="403">
        <f>B27*B17</f>
        <v>2.03754044E-21</v>
      </c>
      <c r="C28" s="392" t="s">
        <v>193</v>
      </c>
      <c r="D28" s="392"/>
      <c r="E28" s="416"/>
    </row>
    <row r="29" spans="1:5" ht="24">
      <c r="A29" s="417" t="s">
        <v>364</v>
      </c>
      <c r="B29" s="396">
        <v>0.5</v>
      </c>
      <c r="C29" s="392"/>
      <c r="D29" s="392"/>
      <c r="E29" s="416" t="s">
        <v>371</v>
      </c>
    </row>
    <row r="30" spans="1:5" ht="24">
      <c r="A30" s="417" t="s">
        <v>365</v>
      </c>
      <c r="B30" s="402">
        <v>2</v>
      </c>
      <c r="C30" s="390"/>
      <c r="D30" s="392" t="s">
        <v>369</v>
      </c>
      <c r="E30" s="416"/>
    </row>
    <row r="31" spans="1:5" ht="24" customHeight="1">
      <c r="A31" s="417" t="s">
        <v>366</v>
      </c>
      <c r="B31" s="404">
        <f>B29*B29</f>
        <v>0.25</v>
      </c>
      <c r="C31" s="390"/>
      <c r="D31" s="391" t="s">
        <v>367</v>
      </c>
      <c r="E31" s="416"/>
    </row>
    <row r="32" spans="1:5" ht="12">
      <c r="A32" s="415" t="s">
        <v>368</v>
      </c>
      <c r="B32" s="398">
        <f>(B$24/B30)*B31</f>
        <v>1051719.0714075817</v>
      </c>
      <c r="C32" s="392" t="s">
        <v>358</v>
      </c>
      <c r="D32" s="392" t="s">
        <v>339</v>
      </c>
      <c r="E32" s="416"/>
    </row>
    <row r="33" spans="1:5" ht="12">
      <c r="A33" s="415"/>
      <c r="B33" s="401">
        <f>B28*B32</f>
        <v>2.1429201395121953E-15</v>
      </c>
      <c r="C33" s="392" t="s">
        <v>357</v>
      </c>
      <c r="D33" s="392"/>
      <c r="E33" s="416"/>
    </row>
    <row r="34" spans="1:5" ht="12.75" thickBot="1">
      <c r="A34" s="418"/>
      <c r="B34" s="419">
        <f>B33/B$18</f>
        <v>0.002142920139512195</v>
      </c>
      <c r="C34" s="420"/>
      <c r="D34" s="420" t="s">
        <v>376</v>
      </c>
      <c r="E34" s="421"/>
    </row>
    <row r="35" ht="12.75" thickBot="1"/>
    <row r="36" spans="1:5" ht="12">
      <c r="A36" s="412" t="s">
        <v>390</v>
      </c>
      <c r="B36" s="413"/>
      <c r="C36" s="413"/>
      <c r="D36" s="413"/>
      <c r="E36" s="414"/>
    </row>
    <row r="37" spans="1:5" ht="12">
      <c r="A37" s="415" t="s">
        <v>391</v>
      </c>
      <c r="B37" s="405">
        <v>971.172</v>
      </c>
      <c r="C37" s="392" t="s">
        <v>204</v>
      </c>
      <c r="D37" s="392"/>
      <c r="E37" s="416"/>
    </row>
    <row r="38" spans="1:5" ht="12">
      <c r="A38" s="415" t="s">
        <v>392</v>
      </c>
      <c r="B38" s="403">
        <f>B37*B17</f>
        <v>1.6121455200000002E-21</v>
      </c>
      <c r="C38" s="392" t="s">
        <v>193</v>
      </c>
      <c r="D38" s="392"/>
      <c r="E38" s="416"/>
    </row>
    <row r="39" spans="1:5" ht="24">
      <c r="A39" s="417" t="s">
        <v>364</v>
      </c>
      <c r="B39" s="396">
        <v>0.5</v>
      </c>
      <c r="C39" s="392"/>
      <c r="D39" s="392"/>
      <c r="E39" s="416" t="s">
        <v>371</v>
      </c>
    </row>
    <row r="40" spans="1:5" ht="24">
      <c r="A40" s="417" t="s">
        <v>395</v>
      </c>
      <c r="B40" s="402">
        <v>2</v>
      </c>
      <c r="C40" s="390"/>
      <c r="D40" s="392" t="s">
        <v>369</v>
      </c>
      <c r="E40" s="416"/>
    </row>
    <row r="41" spans="1:5" ht="24" customHeight="1">
      <c r="A41" s="417" t="s">
        <v>393</v>
      </c>
      <c r="B41" s="404">
        <f>B39*B39*B39</f>
        <v>0.125</v>
      </c>
      <c r="C41" s="390"/>
      <c r="D41" s="391" t="s">
        <v>394</v>
      </c>
      <c r="E41" s="416"/>
    </row>
    <row r="42" spans="1:5" ht="12">
      <c r="A42" s="415" t="s">
        <v>396</v>
      </c>
      <c r="B42" s="398">
        <f>(B$24/B40)*B41</f>
        <v>525859.5357037908</v>
      </c>
      <c r="C42" s="392" t="s">
        <v>358</v>
      </c>
      <c r="D42" s="392" t="s">
        <v>339</v>
      </c>
      <c r="E42" s="416"/>
    </row>
    <row r="43" spans="1:5" ht="12">
      <c r="A43" s="415"/>
      <c r="B43" s="401">
        <f>B38*B42</f>
        <v>8.477620946341465E-16</v>
      </c>
      <c r="C43" s="392" t="s">
        <v>357</v>
      </c>
      <c r="D43" s="392"/>
      <c r="E43" s="416"/>
    </row>
    <row r="44" spans="1:5" ht="12.75" thickBot="1">
      <c r="A44" s="418"/>
      <c r="B44" s="419">
        <f>B43/B$18</f>
        <v>0.0008477620946341466</v>
      </c>
      <c r="C44" s="420"/>
      <c r="D44" s="420" t="s">
        <v>376</v>
      </c>
      <c r="E44" s="421"/>
    </row>
    <row r="45" ht="12.75" thickBot="1"/>
    <row r="46" spans="1:5" ht="12">
      <c r="A46" s="412" t="s">
        <v>397</v>
      </c>
      <c r="B46" s="413"/>
      <c r="C46" s="413"/>
      <c r="D46" s="413"/>
      <c r="E46" s="414"/>
    </row>
    <row r="47" spans="1:5" ht="12">
      <c r="A47" s="433" t="s">
        <v>387</v>
      </c>
      <c r="B47" s="258"/>
      <c r="C47" s="258"/>
      <c r="D47" s="258"/>
      <c r="E47" s="434"/>
    </row>
    <row r="48" spans="1:5" ht="12">
      <c r="A48" s="433"/>
      <c r="B48" s="258"/>
      <c r="C48" s="258" t="s">
        <v>404</v>
      </c>
      <c r="D48" s="258"/>
      <c r="E48" s="434"/>
    </row>
    <row r="49" spans="1:5" ht="15">
      <c r="A49" s="435" t="s">
        <v>380</v>
      </c>
      <c r="B49" s="409">
        <v>0.003</v>
      </c>
      <c r="C49" s="390">
        <v>2856</v>
      </c>
      <c r="D49" s="390"/>
      <c r="E49" s="436" t="s">
        <v>379</v>
      </c>
    </row>
    <row r="50" spans="1:5" ht="15">
      <c r="A50" s="435" t="s">
        <v>381</v>
      </c>
      <c r="B50" s="409">
        <v>0.006</v>
      </c>
      <c r="C50" s="390">
        <v>2898</v>
      </c>
      <c r="D50" s="390"/>
      <c r="E50" s="436"/>
    </row>
    <row r="51" spans="1:5" ht="15">
      <c r="A51" s="435" t="s">
        <v>382</v>
      </c>
      <c r="B51" s="409">
        <v>0.003</v>
      </c>
      <c r="C51" s="390">
        <v>2856</v>
      </c>
      <c r="D51" s="390"/>
      <c r="E51" s="436"/>
    </row>
    <row r="52" spans="1:5" ht="15">
      <c r="A52" s="435" t="s">
        <v>383</v>
      </c>
      <c r="B52" s="409">
        <v>0.002</v>
      </c>
      <c r="C52" s="390">
        <v>2450</v>
      </c>
      <c r="D52" s="390"/>
      <c r="E52" s="436"/>
    </row>
    <row r="53" spans="1:5" ht="15">
      <c r="A53" s="435" t="s">
        <v>384</v>
      </c>
      <c r="B53" s="409">
        <v>0.001</v>
      </c>
      <c r="C53" s="390">
        <v>2563</v>
      </c>
      <c r="D53" s="390"/>
      <c r="E53" s="436"/>
    </row>
    <row r="54" spans="1:5" ht="12">
      <c r="A54" s="437" t="s">
        <v>385</v>
      </c>
      <c r="B54" s="409">
        <f>SUM(B49:B53)</f>
        <v>0.015</v>
      </c>
      <c r="C54" s="390">
        <f>SUM(C49:C53)/5</f>
        <v>2724.6</v>
      </c>
      <c r="D54" s="390"/>
      <c r="E54" s="436"/>
    </row>
    <row r="55" spans="1:5" ht="12">
      <c r="A55" s="433"/>
      <c r="B55" s="258"/>
      <c r="C55" s="258"/>
      <c r="D55" s="258"/>
      <c r="E55" s="434"/>
    </row>
    <row r="56" spans="1:5" ht="12">
      <c r="A56" s="437" t="s">
        <v>372</v>
      </c>
      <c r="B56" s="409">
        <f>B54</f>
        <v>0.015</v>
      </c>
      <c r="C56" s="390"/>
      <c r="D56" s="390"/>
      <c r="E56" s="436" t="s">
        <v>379</v>
      </c>
    </row>
    <row r="57" spans="1:5" ht="12">
      <c r="A57" s="437" t="s">
        <v>386</v>
      </c>
      <c r="B57" s="410">
        <f>C54</f>
        <v>2724.6</v>
      </c>
      <c r="C57" s="390"/>
      <c r="D57" s="390"/>
      <c r="E57" s="436"/>
    </row>
    <row r="58" spans="1:5" ht="12">
      <c r="A58" s="437" t="s">
        <v>378</v>
      </c>
      <c r="B58" s="410">
        <f>B27</f>
        <v>1227.434</v>
      </c>
      <c r="C58" s="390"/>
      <c r="D58" s="390"/>
      <c r="E58" s="436"/>
    </row>
    <row r="59" spans="1:5" ht="12">
      <c r="A59" s="437" t="s">
        <v>375</v>
      </c>
      <c r="B59" s="411">
        <f>B56*B58/B57</f>
        <v>0.006757509359171989</v>
      </c>
      <c r="C59" s="390"/>
      <c r="D59" s="390" t="s">
        <v>377</v>
      </c>
      <c r="E59" s="436"/>
    </row>
    <row r="60" spans="1:5" ht="12">
      <c r="A60" s="415" t="s">
        <v>368</v>
      </c>
      <c r="B60" s="398">
        <f>B62*B$18/B28</f>
        <v>596970.5733305387</v>
      </c>
      <c r="C60" s="390" t="s">
        <v>358</v>
      </c>
      <c r="D60" s="390"/>
      <c r="E60" s="436"/>
    </row>
    <row r="61" spans="1:5" ht="12">
      <c r="A61" s="437"/>
      <c r="B61" s="401">
        <f>B62*B$18</f>
        <v>1.216351684650958E-15</v>
      </c>
      <c r="C61" s="392" t="s">
        <v>357</v>
      </c>
      <c r="D61" s="390"/>
      <c r="E61" s="436"/>
    </row>
    <row r="62" spans="1:5" ht="12.75" thickBot="1">
      <c r="A62" s="438"/>
      <c r="B62" s="439">
        <f>B59*B$11*B$5</f>
        <v>0.0012163516846509582</v>
      </c>
      <c r="C62" s="440"/>
      <c r="D62" s="440" t="s">
        <v>376</v>
      </c>
      <c r="E62" s="441"/>
    </row>
    <row r="63" ht="12.75" thickBot="1"/>
    <row r="64" spans="1:5" ht="12">
      <c r="A64" s="412" t="s">
        <v>398</v>
      </c>
      <c r="B64" s="413"/>
      <c r="C64" s="413"/>
      <c r="D64" s="413"/>
      <c r="E64" s="414"/>
    </row>
    <row r="65" spans="1:5" ht="12">
      <c r="A65" s="433" t="s">
        <v>409</v>
      </c>
      <c r="B65" s="258"/>
      <c r="C65" s="258"/>
      <c r="D65" s="258"/>
      <c r="E65" s="434"/>
    </row>
    <row r="66" spans="1:5" ht="12">
      <c r="A66" s="433"/>
      <c r="B66" s="258"/>
      <c r="C66" s="258" t="s">
        <v>404</v>
      </c>
      <c r="D66" s="258"/>
      <c r="E66" s="434"/>
    </row>
    <row r="67" spans="1:5" ht="14.25">
      <c r="A67" s="445" t="s">
        <v>410</v>
      </c>
      <c r="B67" s="409">
        <v>0.006</v>
      </c>
      <c r="C67" s="444">
        <v>3056</v>
      </c>
      <c r="D67" s="390"/>
      <c r="E67" s="436" t="s">
        <v>379</v>
      </c>
    </row>
    <row r="68" spans="1:5" ht="14.25">
      <c r="A68" s="445" t="s">
        <v>411</v>
      </c>
      <c r="B68" s="409">
        <v>0.001</v>
      </c>
      <c r="C68" s="444">
        <v>2853</v>
      </c>
      <c r="D68" s="390"/>
      <c r="E68" s="436"/>
    </row>
    <row r="69" spans="1:5" ht="14.25">
      <c r="A69" s="445" t="s">
        <v>412</v>
      </c>
      <c r="B69" s="409">
        <v>0.001</v>
      </c>
      <c r="C69" s="444">
        <v>2447</v>
      </c>
      <c r="D69" s="390"/>
      <c r="E69" s="436"/>
    </row>
    <row r="70" spans="1:5" ht="15">
      <c r="A70" s="445" t="s">
        <v>413</v>
      </c>
      <c r="B70" s="409">
        <v>0.003</v>
      </c>
      <c r="C70" s="444">
        <v>2634</v>
      </c>
      <c r="D70" s="390"/>
      <c r="E70" s="436"/>
    </row>
    <row r="71" spans="1:5" ht="15">
      <c r="A71" s="445" t="s">
        <v>414</v>
      </c>
      <c r="B71" s="409">
        <v>0.001</v>
      </c>
      <c r="C71" s="444">
        <v>3040</v>
      </c>
      <c r="D71" s="390"/>
      <c r="E71" s="436"/>
    </row>
    <row r="72" spans="1:5" ht="15">
      <c r="A72" s="445" t="s">
        <v>415</v>
      </c>
      <c r="B72" s="409">
        <v>0.001</v>
      </c>
      <c r="C72" s="444">
        <v>2837</v>
      </c>
      <c r="D72" s="390"/>
      <c r="E72" s="436"/>
    </row>
    <row r="73" spans="1:5" ht="12">
      <c r="A73" s="437" t="s">
        <v>385</v>
      </c>
      <c r="B73" s="409">
        <f>SUM(B67:B72)</f>
        <v>0.013000000000000001</v>
      </c>
      <c r="C73" s="390">
        <f>SUM(C67:C72)/6</f>
        <v>2811.1666666666665</v>
      </c>
      <c r="D73" s="390"/>
      <c r="E73" s="436"/>
    </row>
    <row r="74" spans="1:5" ht="12">
      <c r="A74" s="437"/>
      <c r="B74" s="390"/>
      <c r="C74" s="390"/>
      <c r="D74" s="390"/>
      <c r="E74" s="436"/>
    </row>
    <row r="75" spans="1:5" ht="12">
      <c r="A75" s="437" t="s">
        <v>416</v>
      </c>
      <c r="B75" s="409">
        <f>B73</f>
        <v>0.013000000000000001</v>
      </c>
      <c r="C75" s="390"/>
      <c r="D75" s="390"/>
      <c r="E75" s="436" t="s">
        <v>379</v>
      </c>
    </row>
    <row r="76" spans="1:5" ht="12">
      <c r="A76" s="437" t="s">
        <v>386</v>
      </c>
      <c r="B76" s="410">
        <f>C73</f>
        <v>2811.1666666666665</v>
      </c>
      <c r="C76" s="390"/>
      <c r="D76" s="390"/>
      <c r="E76" s="436"/>
    </row>
    <row r="77" spans="1:5" ht="12">
      <c r="A77" s="437" t="s">
        <v>406</v>
      </c>
      <c r="B77" s="443">
        <f>B37</f>
        <v>971.172</v>
      </c>
      <c r="C77" s="390"/>
      <c r="D77" s="390"/>
      <c r="E77" s="436"/>
    </row>
    <row r="78" spans="1:5" ht="12">
      <c r="A78" s="437" t="s">
        <v>408</v>
      </c>
      <c r="B78" s="411">
        <f>B75*B77/B76</f>
        <v>0.004491101914981918</v>
      </c>
      <c r="C78" s="390"/>
      <c r="D78" s="390" t="s">
        <v>377</v>
      </c>
      <c r="E78" s="436"/>
    </row>
    <row r="79" spans="1:5" ht="12">
      <c r="A79" s="415" t="s">
        <v>396</v>
      </c>
      <c r="B79" s="398">
        <f>B81*B$18/B38</f>
        <v>501442.5401850481</v>
      </c>
      <c r="C79" s="390" t="s">
        <v>358</v>
      </c>
      <c r="D79" s="390"/>
      <c r="E79" s="436"/>
    </row>
    <row r="80" spans="1:5" ht="12">
      <c r="A80" s="437"/>
      <c r="B80" s="401">
        <f>B81*B$18</f>
        <v>8.083983446967454E-16</v>
      </c>
      <c r="C80" s="392" t="s">
        <v>357</v>
      </c>
      <c r="D80" s="390"/>
      <c r="E80" s="436"/>
    </row>
    <row r="81" spans="1:5" ht="12.75" thickBot="1">
      <c r="A81" s="438"/>
      <c r="B81" s="439">
        <f>B78*B$11*B$5</f>
        <v>0.0008083983446967454</v>
      </c>
      <c r="C81" s="440"/>
      <c r="D81" s="440" t="s">
        <v>376</v>
      </c>
      <c r="E81" s="441"/>
    </row>
    <row r="82" ht="12.75" thickBot="1"/>
    <row r="83" spans="1:8" ht="12.75">
      <c r="A83" s="412" t="s">
        <v>417</v>
      </c>
      <c r="B83" s="413"/>
      <c r="C83" s="413"/>
      <c r="D83" s="413"/>
      <c r="E83" s="414"/>
      <c r="H83"/>
    </row>
    <row r="84" spans="1:5" ht="12">
      <c r="A84" s="433" t="s">
        <v>402</v>
      </c>
      <c r="B84" s="258"/>
      <c r="C84" s="258"/>
      <c r="D84" s="258"/>
      <c r="E84" s="434"/>
    </row>
    <row r="85" spans="1:5" ht="12">
      <c r="A85" s="433"/>
      <c r="B85" s="258"/>
      <c r="C85" s="258" t="s">
        <v>404</v>
      </c>
      <c r="D85" s="258"/>
      <c r="E85" s="434"/>
    </row>
    <row r="86" spans="1:5" ht="12.75">
      <c r="A86" s="435" t="s">
        <v>403</v>
      </c>
      <c r="B86" s="409">
        <v>0.022</v>
      </c>
      <c r="C86" s="390">
        <v>1585</v>
      </c>
      <c r="D86" s="390"/>
      <c r="E86" s="436" t="s">
        <v>399</v>
      </c>
    </row>
    <row r="87" spans="1:5" ht="12.75">
      <c r="A87" s="435" t="s">
        <v>400</v>
      </c>
      <c r="B87" s="409">
        <v>0.054</v>
      </c>
      <c r="C87" s="390">
        <v>1585</v>
      </c>
      <c r="D87" s="390"/>
      <c r="E87" s="436"/>
    </row>
    <row r="88" spans="1:5" ht="12.75">
      <c r="A88" s="435" t="s">
        <v>401</v>
      </c>
      <c r="B88" s="409">
        <v>0.08</v>
      </c>
      <c r="C88" s="390">
        <v>1569</v>
      </c>
      <c r="D88" s="390"/>
      <c r="E88" s="436"/>
    </row>
    <row r="89" spans="1:5" ht="12">
      <c r="A89" s="437" t="s">
        <v>385</v>
      </c>
      <c r="B89" s="409">
        <f>SUM(B86:B88)</f>
        <v>0.156</v>
      </c>
      <c r="C89" s="442">
        <f>SUM(C86:C88)/3</f>
        <v>1579.6666666666667</v>
      </c>
      <c r="D89" s="390"/>
      <c r="E89" s="436"/>
    </row>
    <row r="90" spans="1:5" ht="12">
      <c r="A90" s="433"/>
      <c r="B90" s="258"/>
      <c r="C90" s="258"/>
      <c r="D90" s="258"/>
      <c r="E90" s="434"/>
    </row>
    <row r="91" spans="1:5" ht="12">
      <c r="A91" s="437" t="s">
        <v>405</v>
      </c>
      <c r="B91" s="409">
        <f>B89</f>
        <v>0.156</v>
      </c>
      <c r="C91" s="390"/>
      <c r="D91" s="390"/>
      <c r="E91" s="436" t="s">
        <v>399</v>
      </c>
    </row>
    <row r="92" spans="1:5" ht="12">
      <c r="A92" s="437" t="s">
        <v>386</v>
      </c>
      <c r="B92" s="410">
        <f>C89</f>
        <v>1579.6666666666667</v>
      </c>
      <c r="C92" s="390"/>
      <c r="D92" s="390"/>
      <c r="E92" s="436"/>
    </row>
    <row r="93" spans="1:5" ht="12">
      <c r="A93" s="437" t="s">
        <v>406</v>
      </c>
      <c r="B93" s="443">
        <f>B37</f>
        <v>971.172</v>
      </c>
      <c r="C93" s="390"/>
      <c r="D93" s="390"/>
      <c r="E93" s="436"/>
    </row>
    <row r="94" spans="1:5" ht="12">
      <c r="A94" s="437" t="s">
        <v>408</v>
      </c>
      <c r="B94" s="411">
        <f>B91*B93/B92</f>
        <v>0.09590810213125132</v>
      </c>
      <c r="C94" s="390"/>
      <c r="D94" s="390" t="s">
        <v>407</v>
      </c>
      <c r="E94" s="436"/>
    </row>
    <row r="95" spans="1:5" ht="12">
      <c r="A95" s="415" t="s">
        <v>396</v>
      </c>
      <c r="B95" s="398"/>
      <c r="C95" s="390" t="s">
        <v>358</v>
      </c>
      <c r="D95" s="390"/>
      <c r="E95" s="436"/>
    </row>
    <row r="96" spans="1:5" ht="12">
      <c r="A96" s="437"/>
      <c r="B96" s="401"/>
      <c r="C96" s="392" t="s">
        <v>357</v>
      </c>
      <c r="D96" s="390"/>
      <c r="E96" s="436"/>
    </row>
    <row r="97" spans="1:5" ht="10.5" thickBot="1">
      <c r="A97" s="438"/>
      <c r="B97" s="439"/>
      <c r="C97" s="440"/>
      <c r="D97" s="440" t="s">
        <v>376</v>
      </c>
      <c r="E97" s="441"/>
    </row>
  </sheetData>
  <hyperlinks>
    <hyperlink ref="D18" r:id="rId1" display="E.coli (Gram+ аналогично)"/>
  </hyperlinks>
  <printOptions/>
  <pageMargins left="0.75" right="0.75" top="1" bottom="1" header="0.5" footer="0.5"/>
  <pageSetup horizontalDpi="600" verticalDpi="600" orientation="portrait" paperSize="9" r:id="rId4"/>
  <legacyDrawing r:id="rId3"/>
</worksheet>
</file>

<file path=xl/worksheets/sheet12.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00390625" defaultRowHeight="12.75"/>
  <cols>
    <col min="2" max="2" width="11.00390625" style="0" customWidth="1"/>
    <col min="3" max="3" width="13.75390625" style="0" customWidth="1"/>
    <col min="4" max="4" width="14.375" style="0" customWidth="1"/>
  </cols>
  <sheetData>
    <row r="1" spans="1:12" ht="26.25">
      <c r="A1" s="504" t="s">
        <v>474</v>
      </c>
      <c r="B1" s="504" t="s">
        <v>475</v>
      </c>
      <c r="C1" s="504" t="s">
        <v>476</v>
      </c>
      <c r="D1" s="504" t="s">
        <v>477</v>
      </c>
      <c r="E1" s="504" t="s">
        <v>478</v>
      </c>
      <c r="F1" s="504" t="s">
        <v>479</v>
      </c>
      <c r="G1" s="504" t="s">
        <v>480</v>
      </c>
      <c r="H1" s="504" t="s">
        <v>481</v>
      </c>
      <c r="I1" s="504" t="s">
        <v>482</v>
      </c>
      <c r="J1" s="504" t="s">
        <v>483</v>
      </c>
      <c r="K1" s="504" t="s">
        <v>484</v>
      </c>
      <c r="L1" s="504" t="s">
        <v>485</v>
      </c>
    </row>
    <row r="2" spans="1:12" ht="12.75">
      <c r="A2" s="505" t="s">
        <v>486</v>
      </c>
      <c r="B2" s="505">
        <v>1</v>
      </c>
      <c r="C2" s="507" t="s">
        <v>487</v>
      </c>
      <c r="D2" s="507" t="s">
        <v>488</v>
      </c>
      <c r="E2" s="505">
        <v>248.96</v>
      </c>
      <c r="F2" s="505" t="s">
        <v>489</v>
      </c>
      <c r="G2" s="505">
        <v>11.046</v>
      </c>
      <c r="H2" s="505">
        <v>17</v>
      </c>
      <c r="I2" s="505">
        <v>90</v>
      </c>
      <c r="J2" s="505">
        <v>4.35</v>
      </c>
      <c r="K2" s="505">
        <v>5.078</v>
      </c>
      <c r="L2" s="505">
        <v>1.372</v>
      </c>
    </row>
    <row r="3" spans="1:12" ht="12.75">
      <c r="A3" s="505" t="s">
        <v>486</v>
      </c>
      <c r="B3" s="505">
        <v>2</v>
      </c>
      <c r="C3" s="507" t="s">
        <v>490</v>
      </c>
      <c r="D3" s="507" t="s">
        <v>491</v>
      </c>
      <c r="E3" s="505">
        <v>242.19</v>
      </c>
      <c r="F3" s="505" t="s">
        <v>492</v>
      </c>
      <c r="G3" s="505">
        <v>8.054</v>
      </c>
      <c r="H3" s="505" t="s">
        <v>247</v>
      </c>
      <c r="I3" s="505">
        <v>8</v>
      </c>
      <c r="J3" s="505">
        <v>3.638</v>
      </c>
      <c r="K3" s="505">
        <v>3.862</v>
      </c>
      <c r="L3" s="505">
        <v>1.166</v>
      </c>
    </row>
    <row r="4" spans="1:12" ht="12.75">
      <c r="A4" s="505" t="s">
        <v>486</v>
      </c>
      <c r="B4" s="505">
        <v>3</v>
      </c>
      <c r="C4" s="507" t="s">
        <v>493</v>
      </c>
      <c r="D4" s="507" t="s">
        <v>494</v>
      </c>
      <c r="E4" s="505">
        <v>198.3</v>
      </c>
      <c r="F4" s="505" t="s">
        <v>495</v>
      </c>
      <c r="G4" s="505">
        <v>6.79</v>
      </c>
      <c r="H4" s="505" t="s">
        <v>247</v>
      </c>
      <c r="I4" s="505">
        <v>4</v>
      </c>
      <c r="J4" s="505">
        <v>2.723</v>
      </c>
      <c r="K4" s="505">
        <v>2.971</v>
      </c>
      <c r="L4" s="505">
        <v>887</v>
      </c>
    </row>
    <row r="5" spans="1:12" ht="12.75">
      <c r="A5" s="505" t="s">
        <v>486</v>
      </c>
      <c r="B5" s="505">
        <v>4</v>
      </c>
      <c r="C5" s="507" t="s">
        <v>496</v>
      </c>
      <c r="D5" s="507" t="s">
        <v>497</v>
      </c>
      <c r="E5" s="505">
        <v>190.22</v>
      </c>
      <c r="F5" s="505" t="s">
        <v>498</v>
      </c>
      <c r="G5" s="505">
        <v>4.374</v>
      </c>
      <c r="H5" s="505" t="s">
        <v>247</v>
      </c>
      <c r="I5" s="505">
        <v>1</v>
      </c>
      <c r="J5" s="505">
        <v>2.209</v>
      </c>
      <c r="K5" s="505">
        <v>2.441</v>
      </c>
      <c r="L5" s="505">
        <v>799</v>
      </c>
    </row>
    <row r="6" spans="1:12" ht="12.75">
      <c r="A6" s="505" t="s">
        <v>486</v>
      </c>
      <c r="B6" s="505">
        <v>5</v>
      </c>
      <c r="C6" s="507" t="s">
        <v>499</v>
      </c>
      <c r="D6" s="507" t="s">
        <v>500</v>
      </c>
      <c r="E6" s="505">
        <v>181.54</v>
      </c>
      <c r="F6" s="505" t="s">
        <v>501</v>
      </c>
      <c r="G6" s="505">
        <v>4.599</v>
      </c>
      <c r="H6" s="505" t="s">
        <v>247</v>
      </c>
      <c r="I6" s="505">
        <v>17</v>
      </c>
      <c r="J6" s="505">
        <v>2.225</v>
      </c>
      <c r="K6" s="505">
        <v>2.578</v>
      </c>
      <c r="L6" s="505">
        <v>766</v>
      </c>
    </row>
    <row r="7" spans="1:12" ht="12.75">
      <c r="A7" s="505" t="s">
        <v>486</v>
      </c>
      <c r="B7" s="505">
        <v>6</v>
      </c>
      <c r="C7" s="507" t="s">
        <v>502</v>
      </c>
      <c r="D7" s="507" t="s">
        <v>503</v>
      </c>
      <c r="E7" s="505">
        <v>170.81</v>
      </c>
      <c r="F7" s="505" t="s">
        <v>504</v>
      </c>
      <c r="G7" s="505">
        <v>5.338</v>
      </c>
      <c r="H7" s="505" t="s">
        <v>247</v>
      </c>
      <c r="I7" s="505">
        <v>144</v>
      </c>
      <c r="J7" s="505">
        <v>2.408</v>
      </c>
      <c r="K7" s="505">
        <v>3</v>
      </c>
      <c r="L7" s="505">
        <v>876</v>
      </c>
    </row>
    <row r="8" spans="1:12" ht="12.75">
      <c r="A8" s="505" t="s">
        <v>486</v>
      </c>
      <c r="B8" s="505">
        <v>7</v>
      </c>
      <c r="C8" s="507" t="s">
        <v>505</v>
      </c>
      <c r="D8" s="507" t="s">
        <v>506</v>
      </c>
      <c r="E8" s="505">
        <v>159.35</v>
      </c>
      <c r="F8" s="505" t="s">
        <v>507</v>
      </c>
      <c r="G8" s="505">
        <v>4.843</v>
      </c>
      <c r="H8" s="505" t="s">
        <v>247</v>
      </c>
      <c r="I8" s="505">
        <v>21</v>
      </c>
      <c r="J8" s="505">
        <v>2.232</v>
      </c>
      <c r="K8" s="505">
        <v>2.774</v>
      </c>
      <c r="L8" s="505">
        <v>896</v>
      </c>
    </row>
    <row r="9" spans="1:12" ht="12.75">
      <c r="A9" s="505" t="s">
        <v>486</v>
      </c>
      <c r="B9" s="505">
        <v>8</v>
      </c>
      <c r="C9" s="507" t="s">
        <v>508</v>
      </c>
      <c r="D9" s="507" t="s">
        <v>509</v>
      </c>
      <c r="E9" s="505">
        <v>145.14</v>
      </c>
      <c r="F9" s="505" t="s">
        <v>510</v>
      </c>
      <c r="G9" s="505">
        <v>3.962</v>
      </c>
      <c r="H9" s="505" t="s">
        <v>247</v>
      </c>
      <c r="I9" s="505">
        <v>5</v>
      </c>
      <c r="J9" s="505">
        <v>1.975</v>
      </c>
      <c r="K9" s="505">
        <v>2.152</v>
      </c>
      <c r="L9" s="505">
        <v>661</v>
      </c>
    </row>
    <row r="10" spans="1:12" ht="12.75">
      <c r="A10" s="505" t="s">
        <v>486</v>
      </c>
      <c r="B10" s="505">
        <v>9</v>
      </c>
      <c r="C10" s="507" t="s">
        <v>511</v>
      </c>
      <c r="D10" s="507" t="s">
        <v>512</v>
      </c>
      <c r="E10" s="505">
        <v>138.4</v>
      </c>
      <c r="F10" s="505" t="s">
        <v>489</v>
      </c>
      <c r="G10" s="505">
        <v>4.572</v>
      </c>
      <c r="H10" s="505" t="s">
        <v>247</v>
      </c>
      <c r="I10" s="505">
        <v>3</v>
      </c>
      <c r="J10" s="505">
        <v>2.135</v>
      </c>
      <c r="K10" s="505">
        <v>2.262</v>
      </c>
      <c r="L10" s="505">
        <v>702</v>
      </c>
    </row>
    <row r="11" spans="1:12" ht="12.75">
      <c r="A11" s="505" t="s">
        <v>486</v>
      </c>
      <c r="B11" s="505">
        <v>10</v>
      </c>
      <c r="C11" s="507" t="s">
        <v>513</v>
      </c>
      <c r="D11" s="507" t="s">
        <v>514</v>
      </c>
      <c r="E11" s="505">
        <v>133.8</v>
      </c>
      <c r="F11" s="505" t="s">
        <v>515</v>
      </c>
      <c r="G11" s="505">
        <v>5.237</v>
      </c>
      <c r="H11" s="505" t="s">
        <v>247</v>
      </c>
      <c r="I11" s="505">
        <v>3</v>
      </c>
      <c r="J11" s="505">
        <v>2.053</v>
      </c>
      <c r="K11" s="505">
        <v>2.174</v>
      </c>
      <c r="L11" s="505">
        <v>631</v>
      </c>
    </row>
    <row r="12" spans="1:12" ht="12.75">
      <c r="A12" s="505" t="s">
        <v>486</v>
      </c>
      <c r="B12" s="505">
        <v>11</v>
      </c>
      <c r="C12" s="507" t="s">
        <v>516</v>
      </c>
      <c r="D12" s="507" t="s">
        <v>517</v>
      </c>
      <c r="E12" s="505">
        <v>135.09</v>
      </c>
      <c r="F12" s="505" t="s">
        <v>515</v>
      </c>
      <c r="G12" s="505">
        <v>6.187</v>
      </c>
      <c r="H12" s="505" t="s">
        <v>247</v>
      </c>
      <c r="I12" s="505">
        <v>13</v>
      </c>
      <c r="J12" s="505">
        <v>2.267</v>
      </c>
      <c r="K12" s="505">
        <v>2.92</v>
      </c>
      <c r="L12" s="505">
        <v>835</v>
      </c>
    </row>
    <row r="13" spans="1:12" ht="12.75">
      <c r="A13" s="505" t="s">
        <v>486</v>
      </c>
      <c r="B13" s="505">
        <v>12</v>
      </c>
      <c r="C13" s="507" t="s">
        <v>518</v>
      </c>
      <c r="D13" s="507" t="s">
        <v>519</v>
      </c>
      <c r="E13" s="505">
        <v>133.28</v>
      </c>
      <c r="F13" s="505" t="s">
        <v>520</v>
      </c>
      <c r="G13" s="505">
        <v>5.648</v>
      </c>
      <c r="H13" s="505" t="s">
        <v>247</v>
      </c>
      <c r="I13" s="505">
        <v>9</v>
      </c>
      <c r="J13" s="505">
        <v>2.313</v>
      </c>
      <c r="K13" s="505">
        <v>2.521</v>
      </c>
      <c r="L13" s="505">
        <v>680</v>
      </c>
    </row>
    <row r="14" spans="1:12" ht="12.75">
      <c r="A14" s="505" t="s">
        <v>486</v>
      </c>
      <c r="B14" s="505">
        <v>13</v>
      </c>
      <c r="C14" s="507" t="s">
        <v>521</v>
      </c>
      <c r="D14" s="507" t="s">
        <v>522</v>
      </c>
      <c r="E14" s="505">
        <v>114.36</v>
      </c>
      <c r="F14" s="505" t="s">
        <v>510</v>
      </c>
      <c r="G14" s="505">
        <v>1.946</v>
      </c>
      <c r="H14" s="505" t="s">
        <v>247</v>
      </c>
      <c r="I14" s="505">
        <v>4</v>
      </c>
      <c r="J14" s="505">
        <v>1.235</v>
      </c>
      <c r="K14" s="505">
        <v>1.381</v>
      </c>
      <c r="L14" s="505">
        <v>477</v>
      </c>
    </row>
    <row r="15" spans="1:12" ht="12.75">
      <c r="A15" s="505" t="s">
        <v>486</v>
      </c>
      <c r="B15" s="505">
        <v>14</v>
      </c>
      <c r="C15" s="507" t="s">
        <v>523</v>
      </c>
      <c r="D15" s="507" t="s">
        <v>524</v>
      </c>
      <c r="E15" s="505">
        <v>107.04</v>
      </c>
      <c r="F15" s="505" t="s">
        <v>525</v>
      </c>
      <c r="G15" s="505">
        <v>3.252</v>
      </c>
      <c r="H15" s="505" t="s">
        <v>247</v>
      </c>
      <c r="I15" s="505">
        <v>18</v>
      </c>
      <c r="J15" s="505">
        <v>1.704</v>
      </c>
      <c r="K15" s="505">
        <v>2.055</v>
      </c>
      <c r="L15" s="505">
        <v>583</v>
      </c>
    </row>
    <row r="16" spans="1:12" ht="12.75">
      <c r="A16" s="505" t="s">
        <v>486</v>
      </c>
      <c r="B16" s="505">
        <v>15</v>
      </c>
      <c r="C16" s="507" t="s">
        <v>526</v>
      </c>
      <c r="D16" s="507" t="s">
        <v>527</v>
      </c>
      <c r="E16" s="505">
        <v>101.99</v>
      </c>
      <c r="F16" s="505" t="s">
        <v>528</v>
      </c>
      <c r="G16" s="505">
        <v>3.436</v>
      </c>
      <c r="H16" s="505" t="s">
        <v>247</v>
      </c>
      <c r="I16" s="505">
        <v>9</v>
      </c>
      <c r="J16" s="505">
        <v>1.778</v>
      </c>
      <c r="K16" s="505">
        <v>1.814</v>
      </c>
      <c r="L16" s="505">
        <v>555</v>
      </c>
    </row>
    <row r="17" spans="1:12" ht="12.75">
      <c r="A17" s="505" t="s">
        <v>486</v>
      </c>
      <c r="B17" s="505">
        <v>16</v>
      </c>
      <c r="C17" s="507" t="s">
        <v>529</v>
      </c>
      <c r="D17" s="507" t="s">
        <v>530</v>
      </c>
      <c r="E17" s="505">
        <v>90.34</v>
      </c>
      <c r="F17" s="505" t="s">
        <v>531</v>
      </c>
      <c r="G17" s="505">
        <v>4.453</v>
      </c>
      <c r="H17" s="505" t="s">
        <v>247</v>
      </c>
      <c r="I17" s="505">
        <v>27</v>
      </c>
      <c r="J17" s="505">
        <v>1.7</v>
      </c>
      <c r="K17" s="505">
        <v>1.92</v>
      </c>
      <c r="L17" s="505">
        <v>451</v>
      </c>
    </row>
    <row r="18" spans="1:12" ht="12.75">
      <c r="A18" s="505" t="s">
        <v>486</v>
      </c>
      <c r="B18" s="505">
        <v>17</v>
      </c>
      <c r="C18" s="507" t="s">
        <v>532</v>
      </c>
      <c r="D18" s="507" t="s">
        <v>533</v>
      </c>
      <c r="E18" s="505">
        <v>83.26</v>
      </c>
      <c r="F18" s="505" t="s">
        <v>534</v>
      </c>
      <c r="G18" s="505">
        <v>6.004</v>
      </c>
      <c r="H18" s="505" t="s">
        <v>247</v>
      </c>
      <c r="I18" s="505">
        <v>33</v>
      </c>
      <c r="J18" s="505">
        <v>2.131</v>
      </c>
      <c r="K18" s="505">
        <v>2.432</v>
      </c>
      <c r="L18" s="505">
        <v>541</v>
      </c>
    </row>
    <row r="19" spans="1:12" ht="12.75">
      <c r="A19" s="505" t="s">
        <v>486</v>
      </c>
      <c r="B19" s="505">
        <v>18</v>
      </c>
      <c r="C19" s="507" t="s">
        <v>535</v>
      </c>
      <c r="D19" s="507" t="s">
        <v>536</v>
      </c>
      <c r="E19" s="505">
        <v>80.37</v>
      </c>
      <c r="F19" s="505" t="s">
        <v>537</v>
      </c>
      <c r="G19" s="505">
        <v>1.812</v>
      </c>
      <c r="H19" s="505" t="s">
        <v>247</v>
      </c>
      <c r="I19" s="505">
        <v>1</v>
      </c>
      <c r="J19" s="505">
        <v>1.013</v>
      </c>
      <c r="K19" s="505">
        <v>988</v>
      </c>
      <c r="L19" s="505">
        <v>295</v>
      </c>
    </row>
    <row r="20" spans="1:12" ht="12.75">
      <c r="A20" s="505" t="s">
        <v>486</v>
      </c>
      <c r="B20" s="505">
        <v>19</v>
      </c>
      <c r="C20" s="507" t="s">
        <v>538</v>
      </c>
      <c r="D20" s="507" t="s">
        <v>539</v>
      </c>
      <c r="E20" s="505">
        <v>58.62</v>
      </c>
      <c r="F20" s="505" t="s">
        <v>540</v>
      </c>
      <c r="G20" s="505">
        <v>6.452</v>
      </c>
      <c r="H20" s="505" t="s">
        <v>247</v>
      </c>
      <c r="I20" s="505">
        <v>6</v>
      </c>
      <c r="J20" s="505">
        <v>1.75</v>
      </c>
      <c r="K20" s="505">
        <v>2.481</v>
      </c>
      <c r="L20" s="505">
        <v>514</v>
      </c>
    </row>
    <row r="21" spans="1:12" ht="12.75">
      <c r="A21" s="505" t="s">
        <v>486</v>
      </c>
      <c r="B21" s="505">
        <v>20</v>
      </c>
      <c r="C21" s="507" t="s">
        <v>541</v>
      </c>
      <c r="D21" s="507" t="s">
        <v>542</v>
      </c>
      <c r="E21" s="505">
        <v>64.44</v>
      </c>
      <c r="F21" s="505" t="s">
        <v>543</v>
      </c>
      <c r="G21" s="505">
        <v>2.794</v>
      </c>
      <c r="H21" s="505" t="s">
        <v>247</v>
      </c>
      <c r="I21" s="505" t="s">
        <v>247</v>
      </c>
      <c r="J21" s="505">
        <v>1.276</v>
      </c>
      <c r="K21" s="505">
        <v>1.349</v>
      </c>
      <c r="L21" s="505">
        <v>329</v>
      </c>
    </row>
    <row r="22" spans="1:12" ht="12.75">
      <c r="A22" s="505" t="s">
        <v>486</v>
      </c>
      <c r="B22" s="505">
        <v>21</v>
      </c>
      <c r="C22" s="507" t="s">
        <v>544</v>
      </c>
      <c r="D22" s="507" t="s">
        <v>545</v>
      </c>
      <c r="E22" s="505">
        <v>46.71</v>
      </c>
      <c r="F22" s="505" t="s">
        <v>525</v>
      </c>
      <c r="G22" s="505">
        <v>1.24</v>
      </c>
      <c r="H22" s="505" t="s">
        <v>247</v>
      </c>
      <c r="I22" s="505">
        <v>1</v>
      </c>
      <c r="J22" s="505">
        <v>687</v>
      </c>
      <c r="K22" s="505">
        <v>756</v>
      </c>
      <c r="L22" s="505">
        <v>202</v>
      </c>
    </row>
    <row r="23" spans="1:12" ht="12.75">
      <c r="A23" s="505" t="s">
        <v>486</v>
      </c>
      <c r="B23" s="505">
        <v>22</v>
      </c>
      <c r="C23" s="507" t="s">
        <v>546</v>
      </c>
      <c r="D23" s="507" t="s">
        <v>547</v>
      </c>
      <c r="E23" s="505">
        <v>50.82</v>
      </c>
      <c r="F23" s="505" t="s">
        <v>548</v>
      </c>
      <c r="G23" s="505">
        <v>2.493</v>
      </c>
      <c r="H23" s="505" t="s">
        <v>247</v>
      </c>
      <c r="I23" s="505" t="s">
        <v>247</v>
      </c>
      <c r="J23" s="505">
        <v>965</v>
      </c>
      <c r="K23" s="505">
        <v>1.172</v>
      </c>
      <c r="L23" s="505">
        <v>348</v>
      </c>
    </row>
    <row r="24" spans="1:12" ht="12.75">
      <c r="A24" s="505" t="s">
        <v>486</v>
      </c>
      <c r="B24" s="505" t="s">
        <v>549</v>
      </c>
      <c r="C24" s="507" t="s">
        <v>550</v>
      </c>
      <c r="D24" s="507" t="s">
        <v>551</v>
      </c>
      <c r="E24" s="505">
        <v>156.04</v>
      </c>
      <c r="F24" s="505" t="s">
        <v>504</v>
      </c>
      <c r="G24" s="505">
        <v>3.739</v>
      </c>
      <c r="H24" s="505" t="s">
        <v>247</v>
      </c>
      <c r="I24" s="505">
        <v>4</v>
      </c>
      <c r="J24" s="505">
        <v>1.196</v>
      </c>
      <c r="K24" s="505">
        <v>2.158</v>
      </c>
      <c r="L24" s="505">
        <v>859</v>
      </c>
    </row>
    <row r="25" spans="1:12" ht="12.75">
      <c r="A25" s="505" t="s">
        <v>486</v>
      </c>
      <c r="B25" s="505" t="s">
        <v>66</v>
      </c>
      <c r="C25" s="507" t="s">
        <v>552</v>
      </c>
      <c r="D25" s="507" t="s">
        <v>553</v>
      </c>
      <c r="E25" s="505">
        <v>57.23</v>
      </c>
      <c r="F25" s="505" t="s">
        <v>554</v>
      </c>
      <c r="G25" s="505">
        <v>325</v>
      </c>
      <c r="H25" s="505" t="s">
        <v>247</v>
      </c>
      <c r="I25" s="505" t="s">
        <v>247</v>
      </c>
      <c r="J25" s="505">
        <v>298</v>
      </c>
      <c r="K25" s="505">
        <v>577</v>
      </c>
      <c r="L25" s="505">
        <v>395</v>
      </c>
    </row>
    <row r="26" spans="1:12" ht="12.75">
      <c r="A26" s="505"/>
      <c r="B26" s="505" t="s">
        <v>555</v>
      </c>
      <c r="C26" s="507" t="s">
        <v>556</v>
      </c>
      <c r="D26" s="507" t="s">
        <v>557</v>
      </c>
      <c r="E26" s="505">
        <v>0.02</v>
      </c>
      <c r="F26" s="505" t="s">
        <v>558</v>
      </c>
      <c r="G26" s="505">
        <v>13</v>
      </c>
      <c r="H26" s="505">
        <v>2</v>
      </c>
      <c r="I26" s="505">
        <v>22</v>
      </c>
      <c r="J26" s="505" t="s">
        <v>247</v>
      </c>
      <c r="K26" s="505">
        <v>37</v>
      </c>
      <c r="L26" s="505" t="s">
        <v>247</v>
      </c>
    </row>
    <row r="27" spans="1:12" ht="12.75">
      <c r="A27" s="505" t="s">
        <v>559</v>
      </c>
      <c r="B27" s="505" t="s">
        <v>247</v>
      </c>
      <c r="C27" s="507" t="s">
        <v>560</v>
      </c>
      <c r="D27" s="505" t="s">
        <v>247</v>
      </c>
      <c r="E27" s="505">
        <v>165.56</v>
      </c>
      <c r="F27" s="505" t="s">
        <v>558</v>
      </c>
      <c r="G27" s="507">
        <v>5.81</v>
      </c>
      <c r="H27" s="505">
        <v>17</v>
      </c>
      <c r="I27" s="505">
        <v>186</v>
      </c>
      <c r="J27" s="505">
        <v>3.064</v>
      </c>
      <c r="K27" s="505">
        <v>6.445</v>
      </c>
      <c r="L27" s="505">
        <v>1.957</v>
      </c>
    </row>
    <row r="29" spans="1:8" ht="15" customHeight="1">
      <c r="A29" s="505" t="s">
        <v>562</v>
      </c>
      <c r="B29" s="505" t="s">
        <v>564</v>
      </c>
      <c r="E29">
        <f>SUM(E2:E23)*2+E24+E25</f>
        <v>5963.33</v>
      </c>
      <c r="H29" t="s">
        <v>565</v>
      </c>
    </row>
    <row r="30" spans="1:5" ht="12.75">
      <c r="A30" s="505" t="s">
        <v>561</v>
      </c>
      <c r="B30" s="505" t="s">
        <v>563</v>
      </c>
      <c r="E30">
        <f>E29+E24-E25</f>
        <v>6062.14</v>
      </c>
    </row>
    <row r="32" ht="12.75">
      <c r="E32">
        <f>SUM(E2:E26)</f>
        <v>3088.32</v>
      </c>
    </row>
  </sheetData>
  <hyperlinks>
    <hyperlink ref="C2" r:id="rId1" display="https://www.ncbi.nlm.nih.gov/nuccore/NC_000001.11"/>
    <hyperlink ref="D2" r:id="rId2" display="https://www.ncbi.nlm.nih.gov/nuccore/CM000663.2"/>
    <hyperlink ref="C3" r:id="rId3" display="https://www.ncbi.nlm.nih.gov/nuccore/NC_000002.12"/>
    <hyperlink ref="D3" r:id="rId4" display="https://www.ncbi.nlm.nih.gov/nuccore/CM000664.2"/>
    <hyperlink ref="C4" r:id="rId5" display="https://www.ncbi.nlm.nih.gov/nuccore/NC_000003.12"/>
    <hyperlink ref="D4" r:id="rId6" display="https://www.ncbi.nlm.nih.gov/nuccore/CM000665.2"/>
    <hyperlink ref="C5" r:id="rId7" display="https://www.ncbi.nlm.nih.gov/nuccore/NC_000004.12"/>
    <hyperlink ref="D5" r:id="rId8" display="https://www.ncbi.nlm.nih.gov/nuccore/CM000666.2"/>
    <hyperlink ref="C6" r:id="rId9" display="https://www.ncbi.nlm.nih.gov/nuccore/NC_000005.10"/>
    <hyperlink ref="D6" r:id="rId10" display="https://www.ncbi.nlm.nih.gov/nuccore/CM000667.2"/>
    <hyperlink ref="C7" r:id="rId11" display="https://www.ncbi.nlm.nih.gov/nuccore/NC_000006.12"/>
    <hyperlink ref="D7" r:id="rId12" display="https://www.ncbi.nlm.nih.gov/nuccore/CM000668.2"/>
    <hyperlink ref="C8" r:id="rId13" display="https://www.ncbi.nlm.nih.gov/nuccore/NC_000007.14"/>
    <hyperlink ref="D8" r:id="rId14" display="https://www.ncbi.nlm.nih.gov/nuccore/CM000669.2"/>
    <hyperlink ref="C9" r:id="rId15" display="https://www.ncbi.nlm.nih.gov/nuccore/NC_000008.11"/>
    <hyperlink ref="D9" r:id="rId16" display="https://www.ncbi.nlm.nih.gov/nuccore/CM000670.2"/>
    <hyperlink ref="C10" r:id="rId17" display="https://www.ncbi.nlm.nih.gov/nuccore/NC_000009.12"/>
    <hyperlink ref="D10" r:id="rId18" display="https://www.ncbi.nlm.nih.gov/nuccore/CM000671.2"/>
    <hyperlink ref="C11" r:id="rId19" display="https://www.ncbi.nlm.nih.gov/nuccore/NC_000010.11"/>
    <hyperlink ref="D11" r:id="rId20" display="https://www.ncbi.nlm.nih.gov/nuccore/CM000672.2"/>
    <hyperlink ref="C12" r:id="rId21" display="https://www.ncbi.nlm.nih.gov/nuccore/NC_000011.10"/>
    <hyperlink ref="D12" r:id="rId22" display="https://www.ncbi.nlm.nih.gov/nuccore/CM000673.2"/>
    <hyperlink ref="C13" r:id="rId23" display="https://www.ncbi.nlm.nih.gov/nuccore/NC_000012.12"/>
    <hyperlink ref="D13" r:id="rId24" display="https://www.ncbi.nlm.nih.gov/nuccore/CM000674.2"/>
    <hyperlink ref="C14" r:id="rId25" display="https://www.ncbi.nlm.nih.gov/nuccore/NC_000013.11"/>
    <hyperlink ref="D14" r:id="rId26" display="https://www.ncbi.nlm.nih.gov/nuccore/CM000675.2"/>
    <hyperlink ref="C15" r:id="rId27" display="https://www.ncbi.nlm.nih.gov/nuccore/NC_000014.9"/>
    <hyperlink ref="D15" r:id="rId28" display="https://www.ncbi.nlm.nih.gov/nuccore/CM000676.2"/>
    <hyperlink ref="C16" r:id="rId29" display="https://www.ncbi.nlm.nih.gov/nuccore/NC_000015.10"/>
    <hyperlink ref="D16" r:id="rId30" display="https://www.ncbi.nlm.nih.gov/nuccore/CM000677.2"/>
    <hyperlink ref="C17" r:id="rId31" display="https://www.ncbi.nlm.nih.gov/nuccore/NC_000016.10"/>
    <hyperlink ref="D17" r:id="rId32" display="https://www.ncbi.nlm.nih.gov/nuccore/CM000678.2"/>
    <hyperlink ref="C18" r:id="rId33" display="https://www.ncbi.nlm.nih.gov/nuccore/NC_000017.11"/>
    <hyperlink ref="D18" r:id="rId34" display="https://www.ncbi.nlm.nih.gov/nuccore/CM000679.2"/>
    <hyperlink ref="C19" r:id="rId35" display="https://www.ncbi.nlm.nih.gov/nuccore/NC_000018.10"/>
    <hyperlink ref="D19" r:id="rId36" display="https://www.ncbi.nlm.nih.gov/nuccore/CM000680.2"/>
    <hyperlink ref="C20" r:id="rId37" display="https://www.ncbi.nlm.nih.gov/nuccore/NC_000019.10"/>
    <hyperlink ref="D20" r:id="rId38" display="https://www.ncbi.nlm.nih.gov/nuccore/CM000681.2"/>
    <hyperlink ref="C21" r:id="rId39" display="https://www.ncbi.nlm.nih.gov/nuccore/NC_000020.11"/>
    <hyperlink ref="D21" r:id="rId40" display="https://www.ncbi.nlm.nih.gov/nuccore/CM000682.2"/>
    <hyperlink ref="C22" r:id="rId41" display="https://www.ncbi.nlm.nih.gov/nuccore/NC_000021.9"/>
    <hyperlink ref="D22" r:id="rId42" display="https://www.ncbi.nlm.nih.gov/nuccore/CM000683.2"/>
    <hyperlink ref="C23" r:id="rId43" display="https://www.ncbi.nlm.nih.gov/nuccore/NC_000022.11"/>
    <hyperlink ref="D23" r:id="rId44" display="https://www.ncbi.nlm.nih.gov/nuccore/CM000684.2"/>
    <hyperlink ref="C24" r:id="rId45" display="https://www.ncbi.nlm.nih.gov/nuccore/NC_000023.11"/>
    <hyperlink ref="D24" r:id="rId46" display="https://www.ncbi.nlm.nih.gov/nuccore/CM000685.2"/>
    <hyperlink ref="C25" r:id="rId47" display="https://www.ncbi.nlm.nih.gov/nuccore/NC_000024.10"/>
    <hyperlink ref="D25" r:id="rId48" display="https://www.ncbi.nlm.nih.gov/nuccore/CM000686.2"/>
    <hyperlink ref="C26" r:id="rId49" display="https://www.ncbi.nlm.nih.gov/nuccore/NC_012920.1"/>
    <hyperlink ref="D26" r:id="rId50" display="https://www.ncbi.nlm.nih.gov/nuccore/J01415.2"/>
    <hyperlink ref="C27" r:id="rId51" display="https://www.ncbi.nlm.nih.gov/nuccore/"/>
    <hyperlink ref="G27" r:id="rId52" display="https://www.ncbi.nlm.nih.gov/genome/proteins/51?genome_assembly_id=322645&amp;gi=-1"/>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65"/>
  <sheetViews>
    <sheetView workbookViewId="0" topLeftCell="A49">
      <selection activeCell="A1" sqref="A1:IV1"/>
    </sheetView>
  </sheetViews>
  <sheetFormatPr defaultColWidth="9.00390625" defaultRowHeight="12.75"/>
  <cols>
    <col min="1" max="1" width="6.50390625" style="59" customWidth="1"/>
    <col min="2" max="2" width="9.875" style="59" customWidth="1"/>
    <col min="3" max="3" width="10.75390625" style="59" customWidth="1"/>
    <col min="4" max="4" width="12.25390625" style="59" hidden="1" customWidth="1"/>
    <col min="5" max="5" width="7.75390625" style="59" customWidth="1"/>
    <col min="6" max="16384" width="8.875" style="59" customWidth="1"/>
  </cols>
  <sheetData>
    <row r="1" ht="12.75">
      <c r="A1" s="627" t="s">
        <v>639</v>
      </c>
    </row>
    <row r="2" spans="1:8" ht="12.75">
      <c r="A2" s="758" t="s">
        <v>645</v>
      </c>
      <c r="B2" s="758"/>
      <c r="C2" s="758"/>
      <c r="D2" s="758"/>
      <c r="E2" s="758"/>
      <c r="F2" s="758"/>
      <c r="G2" s="758"/>
      <c r="H2" s="758"/>
    </row>
    <row r="3" spans="1:8" ht="12.75">
      <c r="A3" s="759" t="s">
        <v>646</v>
      </c>
      <c r="B3" s="759"/>
      <c r="C3" s="759"/>
      <c r="D3" s="759"/>
      <c r="E3" s="759"/>
      <c r="F3" s="759"/>
      <c r="G3" s="759"/>
      <c r="H3" s="759"/>
    </row>
    <row r="4" spans="1:8" ht="30" customHeight="1">
      <c r="A4" s="760" t="s">
        <v>647</v>
      </c>
      <c r="B4" s="760"/>
      <c r="C4" s="760"/>
      <c r="D4" s="760"/>
      <c r="E4" s="760"/>
      <c r="F4" s="760"/>
      <c r="G4" s="760"/>
      <c r="H4" s="760"/>
    </row>
    <row r="5" spans="1:8" ht="12.75">
      <c r="A5" s="757" t="s">
        <v>641</v>
      </c>
      <c r="B5" s="757"/>
      <c r="C5" s="757"/>
      <c r="F5" s="757" t="s">
        <v>640</v>
      </c>
      <c r="G5" s="757"/>
      <c r="H5" s="757"/>
    </row>
    <row r="6" spans="1:8" ht="17.25" customHeight="1">
      <c r="A6" s="623" t="s">
        <v>635</v>
      </c>
      <c r="B6" s="623" t="s">
        <v>636</v>
      </c>
      <c r="C6" s="623" t="s">
        <v>637</v>
      </c>
      <c r="F6" s="628" t="s">
        <v>642</v>
      </c>
      <c r="G6" s="628" t="s">
        <v>421</v>
      </c>
      <c r="H6" s="628" t="s">
        <v>643</v>
      </c>
    </row>
    <row r="7" spans="1:8" ht="12.75">
      <c r="A7" s="624">
        <v>1</v>
      </c>
      <c r="B7" s="625">
        <v>0.0004</v>
      </c>
      <c r="C7" s="625">
        <v>1.0962</v>
      </c>
      <c r="D7" s="626">
        <f>B7+C7</f>
        <v>1.0966</v>
      </c>
      <c r="E7" s="626"/>
      <c r="F7" s="629">
        <f>IF(D7&gt;100%,B7/D7,B7)</f>
        <v>0.0003647638154295094</v>
      </c>
      <c r="G7" s="629">
        <f>IF(D7&gt;100%,C7/D7,C7)</f>
        <v>0.9996352361845705</v>
      </c>
      <c r="H7" s="629">
        <f>100%-F7-G7</f>
        <v>0</v>
      </c>
    </row>
    <row r="8" spans="1:8" ht="12.75">
      <c r="A8" s="624">
        <v>2</v>
      </c>
      <c r="B8" s="625">
        <v>0.0004</v>
      </c>
      <c r="C8" s="625">
        <v>0.9873</v>
      </c>
      <c r="D8" s="626">
        <f aca="true" t="shared" si="0" ref="D8:D56">B8+C8</f>
        <v>0.9876999999999999</v>
      </c>
      <c r="E8" s="626"/>
      <c r="F8" s="629">
        <f aca="true" t="shared" si="1" ref="F8:F56">IF(D8&gt;100%,B8/D8,B8)</f>
        <v>0.0004</v>
      </c>
      <c r="G8" s="629">
        <f aca="true" t="shared" si="2" ref="G8:G56">IF(D8&gt;100%,C8/D8,C8)</f>
        <v>0.9873</v>
      </c>
      <c r="H8" s="629">
        <f aca="true" t="shared" si="3" ref="H8:H56">100%-F8-G8</f>
        <v>0.012300000000000089</v>
      </c>
    </row>
    <row r="9" spans="1:8" ht="12.75">
      <c r="A9" s="624">
        <v>3</v>
      </c>
      <c r="B9" s="625">
        <v>0.0003</v>
      </c>
      <c r="C9" s="625">
        <v>0.8874</v>
      </c>
      <c r="D9" s="626">
        <f t="shared" si="0"/>
        <v>0.8876999999999999</v>
      </c>
      <c r="E9" s="626"/>
      <c r="F9" s="629">
        <f t="shared" si="1"/>
        <v>0.0003</v>
      </c>
      <c r="G9" s="629">
        <f t="shared" si="2"/>
        <v>0.8874</v>
      </c>
      <c r="H9" s="629">
        <f t="shared" si="3"/>
        <v>0.11230000000000007</v>
      </c>
    </row>
    <row r="10" spans="1:8" ht="12.75">
      <c r="A10" s="624">
        <v>4</v>
      </c>
      <c r="B10" s="625">
        <v>0.0003</v>
      </c>
      <c r="C10" s="625">
        <v>1.088</v>
      </c>
      <c r="D10" s="626">
        <f t="shared" si="0"/>
        <v>1.0883</v>
      </c>
      <c r="E10" s="626"/>
      <c r="F10" s="629">
        <f t="shared" si="1"/>
        <v>0.0002756592851235872</v>
      </c>
      <c r="G10" s="629">
        <f t="shared" si="2"/>
        <v>0.9997243407148765</v>
      </c>
      <c r="H10" s="629">
        <f t="shared" si="3"/>
        <v>0</v>
      </c>
    </row>
    <row r="11" spans="1:8" ht="12.75">
      <c r="A11" s="624">
        <v>5</v>
      </c>
      <c r="B11" s="625">
        <v>0.0004</v>
      </c>
      <c r="C11" s="625">
        <v>0.9339</v>
      </c>
      <c r="D11" s="626">
        <f t="shared" si="0"/>
        <v>0.9342999999999999</v>
      </c>
      <c r="E11" s="626"/>
      <c r="F11" s="629">
        <f t="shared" si="1"/>
        <v>0.0004</v>
      </c>
      <c r="G11" s="629">
        <f t="shared" si="2"/>
        <v>0.9339</v>
      </c>
      <c r="H11" s="629">
        <f t="shared" si="3"/>
        <v>0.06570000000000009</v>
      </c>
    </row>
    <row r="12" spans="1:8" ht="12.75">
      <c r="A12" s="624">
        <v>6</v>
      </c>
      <c r="B12" s="625">
        <v>0.0003</v>
      </c>
      <c r="C12" s="625">
        <v>0.8869</v>
      </c>
      <c r="D12" s="626">
        <f t="shared" si="0"/>
        <v>0.8872</v>
      </c>
      <c r="E12" s="626"/>
      <c r="F12" s="629">
        <f t="shared" si="1"/>
        <v>0.0003</v>
      </c>
      <c r="G12" s="629">
        <f t="shared" si="2"/>
        <v>0.8869</v>
      </c>
      <c r="H12" s="629">
        <f t="shared" si="3"/>
        <v>0.11280000000000001</v>
      </c>
    </row>
    <row r="13" spans="1:8" ht="12.75">
      <c r="A13" s="624">
        <v>7</v>
      </c>
      <c r="B13" s="625">
        <v>0.0004</v>
      </c>
      <c r="C13" s="625">
        <v>1.0553</v>
      </c>
      <c r="D13" s="626">
        <f t="shared" si="0"/>
        <v>1.0556999999999999</v>
      </c>
      <c r="E13" s="626"/>
      <c r="F13" s="629">
        <f t="shared" si="1"/>
        <v>0.00037889551956048125</v>
      </c>
      <c r="G13" s="629">
        <f t="shared" si="2"/>
        <v>0.9996211044804396</v>
      </c>
      <c r="H13" s="629">
        <f t="shared" si="3"/>
        <v>0</v>
      </c>
    </row>
    <row r="14" spans="1:8" ht="12.75">
      <c r="A14" s="624">
        <v>8</v>
      </c>
      <c r="B14" s="625">
        <v>0.0004</v>
      </c>
      <c r="C14" s="625">
        <v>1.0046</v>
      </c>
      <c r="D14" s="626">
        <f t="shared" si="0"/>
        <v>1.005</v>
      </c>
      <c r="E14" s="626"/>
      <c r="F14" s="629">
        <f t="shared" si="1"/>
        <v>0.00039800995024875626</v>
      </c>
      <c r="G14" s="629">
        <f t="shared" si="2"/>
        <v>0.9996019900497513</v>
      </c>
      <c r="H14" s="629">
        <f t="shared" si="3"/>
        <v>0</v>
      </c>
    </row>
    <row r="15" spans="1:8" ht="12.75">
      <c r="A15" s="624">
        <v>9</v>
      </c>
      <c r="B15" s="625">
        <v>0.0003</v>
      </c>
      <c r="C15" s="625">
        <v>1.0019</v>
      </c>
      <c r="D15" s="626">
        <f t="shared" si="0"/>
        <v>1.0022</v>
      </c>
      <c r="E15" s="626"/>
      <c r="F15" s="629">
        <f t="shared" si="1"/>
        <v>0.00029934144881261224</v>
      </c>
      <c r="G15" s="629">
        <f t="shared" si="2"/>
        <v>0.9997006585511874</v>
      </c>
      <c r="H15" s="629">
        <f t="shared" si="3"/>
        <v>0</v>
      </c>
    </row>
    <row r="16" spans="1:8" ht="12.75">
      <c r="A16" s="624">
        <v>10</v>
      </c>
      <c r="B16" s="625">
        <v>0.0003</v>
      </c>
      <c r="C16" s="625">
        <v>1.0241</v>
      </c>
      <c r="D16" s="626">
        <f t="shared" si="0"/>
        <v>1.0244</v>
      </c>
      <c r="E16" s="626"/>
      <c r="F16" s="629">
        <f t="shared" si="1"/>
        <v>0.00029285435376805933</v>
      </c>
      <c r="G16" s="629">
        <f t="shared" si="2"/>
        <v>0.999707145646232</v>
      </c>
      <c r="H16" s="629">
        <f t="shared" si="3"/>
        <v>0</v>
      </c>
    </row>
    <row r="17" spans="1:8" ht="12.75">
      <c r="A17" s="624">
        <v>11</v>
      </c>
      <c r="B17" s="625">
        <v>0.0017</v>
      </c>
      <c r="C17" s="625">
        <v>0.7536</v>
      </c>
      <c r="D17" s="626">
        <f t="shared" si="0"/>
        <v>0.7553000000000001</v>
      </c>
      <c r="E17" s="626"/>
      <c r="F17" s="629">
        <f t="shared" si="1"/>
        <v>0.0017</v>
      </c>
      <c r="G17" s="629">
        <f t="shared" si="2"/>
        <v>0.7536</v>
      </c>
      <c r="H17" s="629">
        <f t="shared" si="3"/>
        <v>0.24469999999999992</v>
      </c>
    </row>
    <row r="18" spans="1:8" ht="12.75">
      <c r="A18" s="624">
        <v>12</v>
      </c>
      <c r="B18" s="625">
        <v>0.0048</v>
      </c>
      <c r="C18" s="625">
        <v>0.825</v>
      </c>
      <c r="D18" s="626">
        <f t="shared" si="0"/>
        <v>0.8298</v>
      </c>
      <c r="E18" s="626"/>
      <c r="F18" s="629">
        <f t="shared" si="1"/>
        <v>0.0048</v>
      </c>
      <c r="G18" s="629">
        <f t="shared" si="2"/>
        <v>0.825</v>
      </c>
      <c r="H18" s="629">
        <f t="shared" si="3"/>
        <v>0.17020000000000002</v>
      </c>
    </row>
    <row r="19" spans="1:8" ht="12.75">
      <c r="A19" s="624">
        <v>13</v>
      </c>
      <c r="B19" s="625">
        <v>0.0006</v>
      </c>
      <c r="C19" s="625">
        <v>0.6881</v>
      </c>
      <c r="D19" s="626">
        <f t="shared" si="0"/>
        <v>0.6887000000000001</v>
      </c>
      <c r="E19" s="626"/>
      <c r="F19" s="629">
        <f t="shared" si="1"/>
        <v>0.0006</v>
      </c>
      <c r="G19" s="629">
        <f t="shared" si="2"/>
        <v>0.6881</v>
      </c>
      <c r="H19" s="629">
        <f t="shared" si="3"/>
        <v>0.3112999999999999</v>
      </c>
    </row>
    <row r="20" spans="1:8" ht="12.75">
      <c r="A20" s="624">
        <v>14</v>
      </c>
      <c r="B20" s="625">
        <v>0.0031</v>
      </c>
      <c r="C20" s="625">
        <v>0.8295</v>
      </c>
      <c r="D20" s="626">
        <f t="shared" si="0"/>
        <v>0.8326</v>
      </c>
      <c r="E20" s="626"/>
      <c r="F20" s="629">
        <f t="shared" si="1"/>
        <v>0.0031</v>
      </c>
      <c r="G20" s="629">
        <f t="shared" si="2"/>
        <v>0.8295</v>
      </c>
      <c r="H20" s="629">
        <f t="shared" si="3"/>
        <v>0.1674</v>
      </c>
    </row>
    <row r="21" spans="1:8" ht="12.75">
      <c r="A21" s="624">
        <v>15</v>
      </c>
      <c r="B21" s="625">
        <v>0.0012</v>
      </c>
      <c r="C21" s="625">
        <v>0.7058</v>
      </c>
      <c r="D21" s="626">
        <f t="shared" si="0"/>
        <v>0.707</v>
      </c>
      <c r="E21" s="626"/>
      <c r="F21" s="629">
        <f t="shared" si="1"/>
        <v>0.0012</v>
      </c>
      <c r="G21" s="629">
        <f t="shared" si="2"/>
        <v>0.7058</v>
      </c>
      <c r="H21" s="629">
        <f t="shared" si="3"/>
        <v>0.29300000000000004</v>
      </c>
    </row>
    <row r="22" spans="1:8" ht="12.75">
      <c r="A22" s="624">
        <v>16</v>
      </c>
      <c r="B22" s="625">
        <v>0.0045</v>
      </c>
      <c r="C22" s="625">
        <v>0.7648</v>
      </c>
      <c r="D22" s="626">
        <f t="shared" si="0"/>
        <v>0.7693</v>
      </c>
      <c r="E22" s="626"/>
      <c r="F22" s="629">
        <f t="shared" si="1"/>
        <v>0.0045</v>
      </c>
      <c r="G22" s="629">
        <f t="shared" si="2"/>
        <v>0.7648</v>
      </c>
      <c r="H22" s="629">
        <f t="shared" si="3"/>
        <v>0.23070000000000002</v>
      </c>
    </row>
    <row r="23" spans="1:8" ht="12.75">
      <c r="A23" s="624">
        <v>17</v>
      </c>
      <c r="B23" s="625">
        <v>0.0012</v>
      </c>
      <c r="C23" s="625">
        <v>0.9717</v>
      </c>
      <c r="D23" s="626">
        <f t="shared" si="0"/>
        <v>0.9729</v>
      </c>
      <c r="E23" s="626"/>
      <c r="F23" s="629">
        <f t="shared" si="1"/>
        <v>0.0012</v>
      </c>
      <c r="G23" s="629">
        <f t="shared" si="2"/>
        <v>0.9717</v>
      </c>
      <c r="H23" s="629">
        <f t="shared" si="3"/>
        <v>0.027100000000000013</v>
      </c>
    </row>
    <row r="24" spans="1:8" ht="12.75">
      <c r="A24" s="624">
        <v>18</v>
      </c>
      <c r="B24" s="625">
        <v>0.0009</v>
      </c>
      <c r="C24" s="625">
        <v>0.9758</v>
      </c>
      <c r="D24" s="626">
        <f t="shared" si="0"/>
        <v>0.9767</v>
      </c>
      <c r="E24" s="626"/>
      <c r="F24" s="629">
        <f t="shared" si="1"/>
        <v>0.0009</v>
      </c>
      <c r="G24" s="629">
        <f t="shared" si="2"/>
        <v>0.9758</v>
      </c>
      <c r="H24" s="629">
        <f t="shared" si="3"/>
        <v>0.023299999999999987</v>
      </c>
    </row>
    <row r="25" spans="1:8" ht="12.75">
      <c r="A25" s="624">
        <v>19</v>
      </c>
      <c r="B25" s="625">
        <v>0.0012</v>
      </c>
      <c r="C25" s="625">
        <v>0.8296</v>
      </c>
      <c r="D25" s="626">
        <f t="shared" si="0"/>
        <v>0.8308</v>
      </c>
      <c r="E25" s="626"/>
      <c r="F25" s="629">
        <f t="shared" si="1"/>
        <v>0.0012</v>
      </c>
      <c r="G25" s="629">
        <f t="shared" si="2"/>
        <v>0.8296</v>
      </c>
      <c r="H25" s="629">
        <f t="shared" si="3"/>
        <v>0.16920000000000002</v>
      </c>
    </row>
    <row r="26" spans="1:8" ht="12.75">
      <c r="A26" s="624">
        <v>20</v>
      </c>
      <c r="B26" s="625">
        <v>0.0009</v>
      </c>
      <c r="C26" s="625">
        <v>0.9403</v>
      </c>
      <c r="D26" s="626">
        <f t="shared" si="0"/>
        <v>0.9412</v>
      </c>
      <c r="E26" s="626"/>
      <c r="F26" s="629">
        <f t="shared" si="1"/>
        <v>0.0009</v>
      </c>
      <c r="G26" s="629">
        <f t="shared" si="2"/>
        <v>0.9403</v>
      </c>
      <c r="H26" s="629">
        <f t="shared" si="3"/>
        <v>0.05879999999999996</v>
      </c>
    </row>
    <row r="27" spans="1:8" ht="12.75">
      <c r="A27" s="624">
        <v>21</v>
      </c>
      <c r="B27" s="625">
        <v>0.0005</v>
      </c>
      <c r="C27" s="625">
        <v>0.6726</v>
      </c>
      <c r="D27" s="626">
        <f t="shared" si="0"/>
        <v>0.6730999999999999</v>
      </c>
      <c r="E27" s="626"/>
      <c r="F27" s="629">
        <f t="shared" si="1"/>
        <v>0.0005</v>
      </c>
      <c r="G27" s="629">
        <f t="shared" si="2"/>
        <v>0.6726</v>
      </c>
      <c r="H27" s="629">
        <f t="shared" si="3"/>
        <v>0.3269000000000001</v>
      </c>
    </row>
    <row r="28" spans="1:8" ht="12.75">
      <c r="A28" s="624">
        <v>22</v>
      </c>
      <c r="B28" s="625">
        <v>0.0006</v>
      </c>
      <c r="C28" s="625">
        <v>0.829</v>
      </c>
      <c r="D28" s="626">
        <f t="shared" si="0"/>
        <v>0.8296</v>
      </c>
      <c r="E28" s="626"/>
      <c r="F28" s="629">
        <f t="shared" si="1"/>
        <v>0.0006</v>
      </c>
      <c r="G28" s="629">
        <f t="shared" si="2"/>
        <v>0.829</v>
      </c>
      <c r="H28" s="629">
        <f t="shared" si="3"/>
        <v>0.1704</v>
      </c>
    </row>
    <row r="29" spans="1:8" ht="12.75">
      <c r="A29" s="624">
        <v>23</v>
      </c>
      <c r="B29" s="625">
        <v>0.0004</v>
      </c>
      <c r="C29" s="625">
        <v>0.6566</v>
      </c>
      <c r="D29" s="626">
        <f t="shared" si="0"/>
        <v>0.6569999999999999</v>
      </c>
      <c r="E29" s="626"/>
      <c r="F29" s="629">
        <f t="shared" si="1"/>
        <v>0.0004</v>
      </c>
      <c r="G29" s="629">
        <f t="shared" si="2"/>
        <v>0.6566</v>
      </c>
      <c r="H29" s="629">
        <f t="shared" si="3"/>
        <v>0.3430000000000001</v>
      </c>
    </row>
    <row r="30" spans="1:8" ht="12.75">
      <c r="A30" s="624">
        <v>24</v>
      </c>
      <c r="B30" s="625">
        <v>0.0006</v>
      </c>
      <c r="C30" s="625">
        <v>0.7144</v>
      </c>
      <c r="D30" s="626">
        <f t="shared" si="0"/>
        <v>0.7150000000000001</v>
      </c>
      <c r="E30" s="626"/>
      <c r="F30" s="629">
        <f t="shared" si="1"/>
        <v>0.0006</v>
      </c>
      <c r="G30" s="629">
        <f t="shared" si="2"/>
        <v>0.7144</v>
      </c>
      <c r="H30" s="629">
        <f t="shared" si="3"/>
        <v>0.2849999999999999</v>
      </c>
    </row>
    <row r="31" spans="1:8" ht="12.75">
      <c r="A31" s="624">
        <v>25</v>
      </c>
      <c r="B31" s="625">
        <v>0.0002</v>
      </c>
      <c r="C31" s="625">
        <v>0.8131</v>
      </c>
      <c r="D31" s="626">
        <f t="shared" si="0"/>
        <v>0.8133</v>
      </c>
      <c r="E31" s="626"/>
      <c r="F31" s="629">
        <f t="shared" si="1"/>
        <v>0.0002</v>
      </c>
      <c r="G31" s="629">
        <f t="shared" si="2"/>
        <v>0.8131</v>
      </c>
      <c r="H31" s="629">
        <f t="shared" si="3"/>
        <v>0.18669999999999998</v>
      </c>
    </row>
    <row r="32" spans="1:8" ht="12.75">
      <c r="A32" s="624">
        <v>26</v>
      </c>
      <c r="B32" s="625">
        <v>0.0002</v>
      </c>
      <c r="C32" s="625">
        <v>0.7364</v>
      </c>
      <c r="D32" s="626">
        <f t="shared" si="0"/>
        <v>0.7366</v>
      </c>
      <c r="E32" s="626"/>
      <c r="F32" s="629">
        <f t="shared" si="1"/>
        <v>0.0002</v>
      </c>
      <c r="G32" s="629">
        <f t="shared" si="2"/>
        <v>0.7364</v>
      </c>
      <c r="H32" s="629">
        <f t="shared" si="3"/>
        <v>0.26339999999999997</v>
      </c>
    </row>
    <row r="33" spans="1:8" ht="12.75">
      <c r="A33" s="624">
        <v>27</v>
      </c>
      <c r="B33" s="625">
        <v>0.0002</v>
      </c>
      <c r="C33" s="625">
        <v>0.6568</v>
      </c>
      <c r="D33" s="626">
        <f t="shared" si="0"/>
        <v>0.657</v>
      </c>
      <c r="E33" s="626"/>
      <c r="F33" s="629">
        <f t="shared" si="1"/>
        <v>0.0002</v>
      </c>
      <c r="G33" s="629">
        <f t="shared" si="2"/>
        <v>0.6568</v>
      </c>
      <c r="H33" s="629">
        <f t="shared" si="3"/>
        <v>0.34299999999999997</v>
      </c>
    </row>
    <row r="34" spans="1:8" ht="12.75">
      <c r="A34" s="624">
        <v>28</v>
      </c>
      <c r="B34" s="625">
        <v>0.0003</v>
      </c>
      <c r="C34" s="625">
        <v>0.7675</v>
      </c>
      <c r="D34" s="626">
        <f t="shared" si="0"/>
        <v>0.7677999999999999</v>
      </c>
      <c r="E34" s="626"/>
      <c r="F34" s="629">
        <f t="shared" si="1"/>
        <v>0.0003</v>
      </c>
      <c r="G34" s="629">
        <f t="shared" si="2"/>
        <v>0.7675</v>
      </c>
      <c r="H34" s="629">
        <f t="shared" si="3"/>
        <v>0.23220000000000007</v>
      </c>
    </row>
    <row r="35" spans="1:8" ht="12.75">
      <c r="A35" s="624">
        <v>29</v>
      </c>
      <c r="B35" s="625">
        <v>0.0008</v>
      </c>
      <c r="C35" s="625">
        <v>0.7715</v>
      </c>
      <c r="D35" s="626">
        <f t="shared" si="0"/>
        <v>0.7723</v>
      </c>
      <c r="E35" s="626"/>
      <c r="F35" s="629">
        <f t="shared" si="1"/>
        <v>0.0008</v>
      </c>
      <c r="G35" s="629">
        <f t="shared" si="2"/>
        <v>0.7715</v>
      </c>
      <c r="H35" s="629">
        <f t="shared" si="3"/>
        <v>0.2277</v>
      </c>
    </row>
    <row r="36" spans="1:8" ht="12.75">
      <c r="A36" s="624">
        <v>30</v>
      </c>
      <c r="B36" s="625">
        <v>0.0009</v>
      </c>
      <c r="C36" s="625">
        <v>0.7483</v>
      </c>
      <c r="D36" s="626">
        <f t="shared" si="0"/>
        <v>0.7492</v>
      </c>
      <c r="E36" s="626"/>
      <c r="F36" s="629">
        <f t="shared" si="1"/>
        <v>0.0009</v>
      </c>
      <c r="G36" s="629">
        <f t="shared" si="2"/>
        <v>0.7483</v>
      </c>
      <c r="H36" s="629">
        <f t="shared" si="3"/>
        <v>0.2508</v>
      </c>
    </row>
    <row r="37" spans="1:8" ht="12.75">
      <c r="A37" s="624">
        <v>31</v>
      </c>
      <c r="B37" s="625">
        <v>0.0001</v>
      </c>
      <c r="C37" s="625">
        <v>0.7337</v>
      </c>
      <c r="D37" s="626">
        <f t="shared" si="0"/>
        <v>0.7338</v>
      </c>
      <c r="E37" s="626"/>
      <c r="F37" s="629">
        <f t="shared" si="1"/>
        <v>0.0001</v>
      </c>
      <c r="G37" s="629">
        <f t="shared" si="2"/>
        <v>0.7337</v>
      </c>
      <c r="H37" s="629">
        <f t="shared" si="3"/>
        <v>0.2662</v>
      </c>
    </row>
    <row r="38" spans="1:8" ht="12.75">
      <c r="A38" s="624">
        <v>32</v>
      </c>
      <c r="B38" s="625">
        <v>0.0001</v>
      </c>
      <c r="C38" s="625">
        <v>0.8846</v>
      </c>
      <c r="D38" s="626">
        <f t="shared" si="0"/>
        <v>0.8847</v>
      </c>
      <c r="E38" s="626"/>
      <c r="F38" s="629">
        <f t="shared" si="1"/>
        <v>0.0001</v>
      </c>
      <c r="G38" s="629">
        <f t="shared" si="2"/>
        <v>0.8846</v>
      </c>
      <c r="H38" s="629">
        <f t="shared" si="3"/>
        <v>0.11529999999999996</v>
      </c>
    </row>
    <row r="39" spans="1:8" ht="12.75">
      <c r="A39" s="624">
        <v>33</v>
      </c>
      <c r="B39" s="625">
        <v>0</v>
      </c>
      <c r="C39" s="625">
        <v>0.8703</v>
      </c>
      <c r="D39" s="626">
        <f t="shared" si="0"/>
        <v>0.8703</v>
      </c>
      <c r="E39" s="626"/>
      <c r="F39" s="629">
        <f t="shared" si="1"/>
        <v>0</v>
      </c>
      <c r="G39" s="629">
        <f t="shared" si="2"/>
        <v>0.8703</v>
      </c>
      <c r="H39" s="629">
        <f t="shared" si="3"/>
        <v>0.12970000000000004</v>
      </c>
    </row>
    <row r="40" spans="1:8" ht="12.75">
      <c r="A40" s="624">
        <v>34</v>
      </c>
      <c r="B40" s="625">
        <v>0.0001</v>
      </c>
      <c r="C40" s="625">
        <v>0.883</v>
      </c>
      <c r="D40" s="626">
        <f t="shared" si="0"/>
        <v>0.8831</v>
      </c>
      <c r="E40" s="626"/>
      <c r="F40" s="629">
        <f t="shared" si="1"/>
        <v>0.0001</v>
      </c>
      <c r="G40" s="629">
        <f t="shared" si="2"/>
        <v>0.883</v>
      </c>
      <c r="H40" s="629">
        <f t="shared" si="3"/>
        <v>0.1169</v>
      </c>
    </row>
    <row r="41" spans="1:8" ht="12.75">
      <c r="A41" s="624">
        <v>35</v>
      </c>
      <c r="B41" s="625">
        <v>0.0001</v>
      </c>
      <c r="C41" s="625">
        <v>0.8749</v>
      </c>
      <c r="D41" s="626">
        <f t="shared" si="0"/>
        <v>0.875</v>
      </c>
      <c r="E41" s="626"/>
      <c r="F41" s="629">
        <f t="shared" si="1"/>
        <v>0.0001</v>
      </c>
      <c r="G41" s="629">
        <f t="shared" si="2"/>
        <v>0.8749</v>
      </c>
      <c r="H41" s="629">
        <f t="shared" si="3"/>
        <v>0.125</v>
      </c>
    </row>
    <row r="42" spans="1:8" ht="12.75">
      <c r="A42" s="624">
        <v>36</v>
      </c>
      <c r="B42" s="625">
        <v>0</v>
      </c>
      <c r="C42" s="625">
        <v>0.8479</v>
      </c>
      <c r="D42" s="626">
        <f t="shared" si="0"/>
        <v>0.8479</v>
      </c>
      <c r="E42" s="626"/>
      <c r="F42" s="629">
        <f t="shared" si="1"/>
        <v>0</v>
      </c>
      <c r="G42" s="629">
        <f t="shared" si="2"/>
        <v>0.8479</v>
      </c>
      <c r="H42" s="629">
        <f t="shared" si="3"/>
        <v>0.1521</v>
      </c>
    </row>
    <row r="43" spans="1:8" ht="12.75">
      <c r="A43" s="624">
        <v>37</v>
      </c>
      <c r="B43" s="625">
        <v>0.0001</v>
      </c>
      <c r="C43" s="625">
        <v>0.7957</v>
      </c>
      <c r="D43" s="626">
        <f t="shared" si="0"/>
        <v>0.7958</v>
      </c>
      <c r="E43" s="626"/>
      <c r="F43" s="629">
        <f t="shared" si="1"/>
        <v>0.0001</v>
      </c>
      <c r="G43" s="629">
        <f t="shared" si="2"/>
        <v>0.7957</v>
      </c>
      <c r="H43" s="629">
        <f t="shared" si="3"/>
        <v>0.20420000000000005</v>
      </c>
    </row>
    <row r="44" spans="1:8" ht="12.75">
      <c r="A44" s="624">
        <v>38</v>
      </c>
      <c r="B44" s="625">
        <v>0.0001</v>
      </c>
      <c r="C44" s="625">
        <v>0.8657</v>
      </c>
      <c r="D44" s="626">
        <f t="shared" si="0"/>
        <v>0.8658</v>
      </c>
      <c r="E44" s="626"/>
      <c r="F44" s="629">
        <f t="shared" si="1"/>
        <v>0.0001</v>
      </c>
      <c r="G44" s="629">
        <f t="shared" si="2"/>
        <v>0.8657</v>
      </c>
      <c r="H44" s="629">
        <f t="shared" si="3"/>
        <v>0.13419999999999999</v>
      </c>
    </row>
    <row r="45" spans="1:8" ht="12.75">
      <c r="A45" s="624">
        <v>39</v>
      </c>
      <c r="B45" s="625">
        <v>0.0001</v>
      </c>
      <c r="C45" s="625">
        <v>0.684</v>
      </c>
      <c r="D45" s="626">
        <f t="shared" si="0"/>
        <v>0.6841</v>
      </c>
      <c r="E45" s="626"/>
      <c r="F45" s="629">
        <f t="shared" si="1"/>
        <v>0.0001</v>
      </c>
      <c r="G45" s="629">
        <f t="shared" si="2"/>
        <v>0.684</v>
      </c>
      <c r="H45" s="629">
        <f t="shared" si="3"/>
        <v>0.31589999999999996</v>
      </c>
    </row>
    <row r="46" spans="1:8" ht="12.75">
      <c r="A46" s="624">
        <v>40</v>
      </c>
      <c r="B46" s="625">
        <v>0.0001</v>
      </c>
      <c r="C46" s="625">
        <v>0.7883</v>
      </c>
      <c r="D46" s="626">
        <f t="shared" si="0"/>
        <v>0.7884</v>
      </c>
      <c r="E46" s="626"/>
      <c r="F46" s="629">
        <f t="shared" si="1"/>
        <v>0.0001</v>
      </c>
      <c r="G46" s="629">
        <f t="shared" si="2"/>
        <v>0.7883</v>
      </c>
      <c r="H46" s="629">
        <f t="shared" si="3"/>
        <v>0.2116</v>
      </c>
    </row>
    <row r="47" spans="1:8" ht="12.75">
      <c r="A47" s="624">
        <v>41</v>
      </c>
      <c r="B47" s="625">
        <v>0.0002</v>
      </c>
      <c r="C47" s="625">
        <v>1.0122</v>
      </c>
      <c r="D47" s="626">
        <f t="shared" si="0"/>
        <v>1.0124</v>
      </c>
      <c r="E47" s="626"/>
      <c r="F47" s="629">
        <f t="shared" si="1"/>
        <v>0.00019755037534571317</v>
      </c>
      <c r="G47" s="629">
        <f t="shared" si="2"/>
        <v>0.9998024496246543</v>
      </c>
      <c r="H47" s="629">
        <f t="shared" si="3"/>
        <v>0</v>
      </c>
    </row>
    <row r="48" spans="1:8" ht="12.75">
      <c r="A48" s="624">
        <v>42</v>
      </c>
      <c r="B48" s="625">
        <v>0.0002</v>
      </c>
      <c r="C48" s="625">
        <v>0.8766</v>
      </c>
      <c r="D48" s="626">
        <f t="shared" si="0"/>
        <v>0.8768</v>
      </c>
      <c r="E48" s="626"/>
      <c r="F48" s="629">
        <f t="shared" si="1"/>
        <v>0.0002</v>
      </c>
      <c r="G48" s="629">
        <f t="shared" si="2"/>
        <v>0.8766</v>
      </c>
      <c r="H48" s="629">
        <f t="shared" si="3"/>
        <v>0.12319999999999998</v>
      </c>
    </row>
    <row r="49" spans="1:8" ht="12.75">
      <c r="A49" s="624">
        <v>43</v>
      </c>
      <c r="B49" s="625">
        <v>0.0001</v>
      </c>
      <c r="C49" s="625">
        <v>0.6752</v>
      </c>
      <c r="D49" s="626">
        <f t="shared" si="0"/>
        <v>0.6753</v>
      </c>
      <c r="E49" s="626"/>
      <c r="F49" s="629">
        <f t="shared" si="1"/>
        <v>0.0001</v>
      </c>
      <c r="G49" s="629">
        <f t="shared" si="2"/>
        <v>0.6752</v>
      </c>
      <c r="H49" s="629">
        <f t="shared" si="3"/>
        <v>0.3247</v>
      </c>
    </row>
    <row r="50" spans="1:8" ht="12.75">
      <c r="A50" s="624">
        <v>44</v>
      </c>
      <c r="B50" s="625">
        <v>0.0001</v>
      </c>
      <c r="C50" s="625">
        <v>0.7714</v>
      </c>
      <c r="D50" s="626">
        <f t="shared" si="0"/>
        <v>0.7715</v>
      </c>
      <c r="E50" s="626"/>
      <c r="F50" s="629">
        <f t="shared" si="1"/>
        <v>0.0001</v>
      </c>
      <c r="G50" s="629">
        <f t="shared" si="2"/>
        <v>0.7714</v>
      </c>
      <c r="H50" s="629">
        <f t="shared" si="3"/>
        <v>0.22850000000000004</v>
      </c>
    </row>
    <row r="51" spans="1:8" ht="12.75">
      <c r="A51" s="624">
        <v>45</v>
      </c>
      <c r="B51" s="625">
        <v>0.0001</v>
      </c>
      <c r="C51" s="625">
        <v>0.7331</v>
      </c>
      <c r="D51" s="626">
        <f t="shared" si="0"/>
        <v>0.7332</v>
      </c>
      <c r="E51" s="626"/>
      <c r="F51" s="629">
        <f t="shared" si="1"/>
        <v>0.0001</v>
      </c>
      <c r="G51" s="629">
        <f t="shared" si="2"/>
        <v>0.7331</v>
      </c>
      <c r="H51" s="629">
        <f t="shared" si="3"/>
        <v>0.26680000000000004</v>
      </c>
    </row>
    <row r="52" spans="1:8" ht="12.75">
      <c r="A52" s="624">
        <v>46</v>
      </c>
      <c r="B52" s="625">
        <v>0.0001</v>
      </c>
      <c r="C52" s="625">
        <v>0.7814</v>
      </c>
      <c r="D52" s="626">
        <f t="shared" si="0"/>
        <v>0.7815</v>
      </c>
      <c r="E52" s="626"/>
      <c r="F52" s="629">
        <f t="shared" si="1"/>
        <v>0.0001</v>
      </c>
      <c r="G52" s="629">
        <f t="shared" si="2"/>
        <v>0.7814</v>
      </c>
      <c r="H52" s="629">
        <f t="shared" si="3"/>
        <v>0.21850000000000003</v>
      </c>
    </row>
    <row r="53" spans="1:8" ht="12.75">
      <c r="A53" s="624">
        <v>47</v>
      </c>
      <c r="B53" s="625">
        <v>0.0001</v>
      </c>
      <c r="C53" s="625">
        <v>0.694</v>
      </c>
      <c r="D53" s="626">
        <f t="shared" si="0"/>
        <v>0.6940999999999999</v>
      </c>
      <c r="E53" s="626"/>
      <c r="F53" s="629">
        <f t="shared" si="1"/>
        <v>0.0001</v>
      </c>
      <c r="G53" s="629">
        <f t="shared" si="2"/>
        <v>0.694</v>
      </c>
      <c r="H53" s="629">
        <f t="shared" si="3"/>
        <v>0.30590000000000006</v>
      </c>
    </row>
    <row r="54" spans="1:8" ht="12.75">
      <c r="A54" s="624">
        <v>48</v>
      </c>
      <c r="B54" s="625">
        <v>0.0001</v>
      </c>
      <c r="C54" s="625">
        <v>0.9733</v>
      </c>
      <c r="D54" s="626">
        <f t="shared" si="0"/>
        <v>0.9734</v>
      </c>
      <c r="E54" s="626"/>
      <c r="F54" s="629">
        <f t="shared" si="1"/>
        <v>0.0001</v>
      </c>
      <c r="G54" s="629">
        <f t="shared" si="2"/>
        <v>0.9733</v>
      </c>
      <c r="H54" s="629">
        <f t="shared" si="3"/>
        <v>0.026599999999999957</v>
      </c>
    </row>
    <row r="55" spans="1:8" ht="12.75">
      <c r="A55" s="624">
        <v>49</v>
      </c>
      <c r="B55" s="625">
        <v>0.0001</v>
      </c>
      <c r="C55" s="625">
        <v>0.857</v>
      </c>
      <c r="D55" s="626">
        <f t="shared" si="0"/>
        <v>0.8571</v>
      </c>
      <c r="E55" s="626"/>
      <c r="F55" s="629">
        <f t="shared" si="1"/>
        <v>0.0001</v>
      </c>
      <c r="G55" s="629">
        <f t="shared" si="2"/>
        <v>0.857</v>
      </c>
      <c r="H55" s="629">
        <f t="shared" si="3"/>
        <v>0.14290000000000003</v>
      </c>
    </row>
    <row r="56" spans="1:8" ht="12.75">
      <c r="A56" s="624">
        <v>50</v>
      </c>
      <c r="B56" s="625">
        <v>0.0001</v>
      </c>
      <c r="C56" s="625">
        <v>0.7453</v>
      </c>
      <c r="D56" s="626">
        <f t="shared" si="0"/>
        <v>0.7454</v>
      </c>
      <c r="E56" s="626"/>
      <c r="F56" s="629">
        <f t="shared" si="1"/>
        <v>0.0001</v>
      </c>
      <c r="G56" s="629">
        <f t="shared" si="2"/>
        <v>0.7453</v>
      </c>
      <c r="H56" s="629">
        <f t="shared" si="3"/>
        <v>0.25460000000000005</v>
      </c>
    </row>
    <row r="57" spans="1:8" ht="26.25">
      <c r="A57" s="624" t="s">
        <v>638</v>
      </c>
      <c r="B57" s="625">
        <v>0.0003</v>
      </c>
      <c r="C57" s="625">
        <v>0.8292</v>
      </c>
      <c r="F57" s="630"/>
      <c r="G57" s="630"/>
      <c r="H57" s="630"/>
    </row>
    <row r="58" spans="6:8" ht="12.75">
      <c r="F58" s="630"/>
      <c r="G58" s="630"/>
      <c r="H58" s="630"/>
    </row>
    <row r="59" spans="2:9" ht="12.75">
      <c r="B59" s="625">
        <f>SUM(B7:B56)/50</f>
        <v>0.0006059999999999998</v>
      </c>
      <c r="C59" s="625">
        <f>SUM(C7:C56)/50</f>
        <v>0.8392719999999998</v>
      </c>
      <c r="F59" s="631">
        <f>SUM(F7:F56)/50</f>
        <v>0.0006041414949657742</v>
      </c>
      <c r="G59" s="678">
        <f>SUM(G7:G56)/50</f>
        <v>0.8335818585050341</v>
      </c>
      <c r="H59" s="678">
        <f>SUM(H7:H56)/50</f>
        <v>0.16581399999999996</v>
      </c>
      <c r="I59" s="626"/>
    </row>
    <row r="62" spans="1:7" ht="16.5" customHeight="1">
      <c r="A62" s="761" t="s">
        <v>691</v>
      </c>
      <c r="B62" s="761"/>
      <c r="C62" s="761"/>
      <c r="D62" s="761"/>
      <c r="E62" s="761"/>
      <c r="F62" s="630">
        <f>'DNA-yield'!D6</f>
        <v>8.08</v>
      </c>
      <c r="G62" s="59" t="s">
        <v>688</v>
      </c>
    </row>
    <row r="63" spans="1:7" ht="13.5" customHeight="1">
      <c r="A63" s="761" t="s">
        <v>690</v>
      </c>
      <c r="B63" s="761"/>
      <c r="C63" s="761"/>
      <c r="D63" s="761"/>
      <c r="E63" s="761"/>
      <c r="F63" s="679">
        <f>F62*F$59/1000000</f>
        <v>4.8814632793234555E-09</v>
      </c>
      <c r="G63" s="59" t="s">
        <v>195</v>
      </c>
    </row>
    <row r="64" spans="1:7" ht="15.75" customHeight="1">
      <c r="A64" s="761" t="s">
        <v>692</v>
      </c>
      <c r="B64" s="761"/>
      <c r="C64" s="761"/>
      <c r="D64" s="761"/>
      <c r="E64" s="761"/>
      <c r="F64" s="630">
        <f>'DNA-yield'!D4</f>
        <v>17.98</v>
      </c>
      <c r="G64" s="59" t="s">
        <v>688</v>
      </c>
    </row>
    <row r="65" spans="1:7" ht="16.5" customHeight="1">
      <c r="A65" s="761" t="s">
        <v>690</v>
      </c>
      <c r="B65" s="761"/>
      <c r="C65" s="761"/>
      <c r="D65" s="761"/>
      <c r="E65" s="761"/>
      <c r="F65" s="679">
        <f>F64*F$59/1000000</f>
        <v>1.0862464079484621E-08</v>
      </c>
      <c r="G65" s="59" t="s">
        <v>195</v>
      </c>
    </row>
  </sheetData>
  <mergeCells count="9">
    <mergeCell ref="A62:E62"/>
    <mergeCell ref="A64:E64"/>
    <mergeCell ref="A63:E63"/>
    <mergeCell ref="A65:E65"/>
    <mergeCell ref="F5:H5"/>
    <mergeCell ref="A5:C5"/>
    <mergeCell ref="A2:H2"/>
    <mergeCell ref="A3:H3"/>
    <mergeCell ref="A4:H4"/>
  </mergeCells>
  <hyperlinks>
    <hyperlink ref="A1" r:id="rId1" display="http://www.dnagenotek.com/US/pdf/PD-WP-011.pdf"/>
  </hyperlinks>
  <printOptions/>
  <pageMargins left="0.75" right="0.75" top="1" bottom="1" header="0.5" footer="0.5"/>
  <pageSetup horizontalDpi="600" verticalDpi="600" orientation="portrait" paperSize="9" r:id="rId4"/>
  <legacyDrawing r:id="rId3"/>
</worksheet>
</file>

<file path=xl/worksheets/sheet14.xml><?xml version="1.0" encoding="utf-8"?>
<worksheet xmlns="http://schemas.openxmlformats.org/spreadsheetml/2006/main" xmlns:r="http://schemas.openxmlformats.org/officeDocument/2006/relationships">
  <dimension ref="A1:O17"/>
  <sheetViews>
    <sheetView workbookViewId="0" topLeftCell="A4">
      <selection activeCell="I10" sqref="I10:K12"/>
    </sheetView>
  </sheetViews>
  <sheetFormatPr defaultColWidth="9.00390625" defaultRowHeight="12.75"/>
  <cols>
    <col min="1" max="1" width="15.00390625" style="0" customWidth="1"/>
    <col min="2" max="2" width="13.25390625" style="0" customWidth="1"/>
    <col min="3" max="3" width="12.75390625" style="0" customWidth="1"/>
    <col min="4" max="4" width="15.00390625" style="0" customWidth="1"/>
    <col min="5" max="5" width="13.50390625" style="0" customWidth="1"/>
    <col min="6" max="6" width="16.00390625" style="0" customWidth="1"/>
    <col min="7" max="7" width="17.75390625" style="0" customWidth="1"/>
    <col min="9" max="9" width="16.125" style="0" customWidth="1"/>
  </cols>
  <sheetData>
    <row r="1" spans="1:2" ht="12.75">
      <c r="A1">
        <v>23857774</v>
      </c>
      <c r="B1" t="s">
        <v>678</v>
      </c>
    </row>
    <row r="2" ht="13.5" thickBot="1">
      <c r="A2" s="641" t="s">
        <v>653</v>
      </c>
    </row>
    <row r="3" spans="1:15" s="636" customFormat="1" ht="66" customHeight="1">
      <c r="A3" s="646"/>
      <c r="B3" s="650" t="s">
        <v>676</v>
      </c>
      <c r="C3" s="651" t="s">
        <v>679</v>
      </c>
      <c r="D3" s="652" t="s">
        <v>689</v>
      </c>
      <c r="E3" s="653" t="s">
        <v>677</v>
      </c>
      <c r="F3" s="648" t="s">
        <v>650</v>
      </c>
      <c r="G3" s="639" t="s">
        <v>651</v>
      </c>
      <c r="H3" s="638" t="s">
        <v>677</v>
      </c>
      <c r="I3" s="639" t="s">
        <v>675</v>
      </c>
      <c r="J3" s="633"/>
      <c r="K3" s="634"/>
      <c r="L3" s="635"/>
      <c r="M3" s="635"/>
      <c r="N3" s="635"/>
      <c r="O3" s="635"/>
    </row>
    <row r="4" spans="1:15" ht="18.75" customHeight="1">
      <c r="A4" s="647" t="s">
        <v>648</v>
      </c>
      <c r="B4" s="657">
        <v>89.9</v>
      </c>
      <c r="C4" s="658">
        <v>7.96</v>
      </c>
      <c r="D4" s="659">
        <f>B4/5</f>
        <v>17.98</v>
      </c>
      <c r="E4" s="654"/>
      <c r="F4" s="649" t="s">
        <v>660</v>
      </c>
      <c r="G4" s="640" t="s">
        <v>661</v>
      </c>
      <c r="H4" s="640"/>
      <c r="I4" s="640" t="s">
        <v>662</v>
      </c>
      <c r="J4" s="632"/>
      <c r="K4" s="632"/>
      <c r="L4" s="632"/>
      <c r="M4" s="632"/>
      <c r="N4" s="632"/>
      <c r="O4" s="632"/>
    </row>
    <row r="5" spans="1:15" ht="15.75" customHeight="1">
      <c r="A5" s="647" t="s">
        <v>649</v>
      </c>
      <c r="B5" s="657">
        <v>76</v>
      </c>
      <c r="C5" s="658">
        <v>5.51</v>
      </c>
      <c r="D5" s="659">
        <f>B5/5</f>
        <v>15.2</v>
      </c>
      <c r="E5" s="654"/>
      <c r="F5" s="649" t="s">
        <v>663</v>
      </c>
      <c r="G5" s="640" t="s">
        <v>664</v>
      </c>
      <c r="H5" s="640"/>
      <c r="I5" s="640" t="s">
        <v>665</v>
      </c>
      <c r="J5" s="632"/>
      <c r="K5" s="632"/>
      <c r="L5" s="632"/>
      <c r="M5" s="632"/>
      <c r="N5" s="632"/>
      <c r="O5" s="632"/>
    </row>
    <row r="6" spans="1:15" ht="15.75" customHeight="1">
      <c r="A6" s="647" t="s">
        <v>644</v>
      </c>
      <c r="B6" s="657">
        <v>40.4</v>
      </c>
      <c r="C6" s="658">
        <v>3.75</v>
      </c>
      <c r="D6" s="659">
        <f>B6/5</f>
        <v>8.08</v>
      </c>
      <c r="E6" s="655">
        <f>40.4/89.9</f>
        <v>0.4493882091212458</v>
      </c>
      <c r="F6" s="649" t="s">
        <v>666</v>
      </c>
      <c r="G6" s="640" t="s">
        <v>667</v>
      </c>
      <c r="H6" s="645">
        <f>38.9/87</f>
        <v>0.4471264367816092</v>
      </c>
      <c r="I6" s="640" t="s">
        <v>668</v>
      </c>
      <c r="J6" s="632"/>
      <c r="K6" s="632"/>
      <c r="L6" s="632"/>
      <c r="M6" s="632"/>
      <c r="N6" s="632"/>
      <c r="O6" s="632"/>
    </row>
    <row r="7" spans="1:15" ht="53.25" customHeight="1" thickBot="1">
      <c r="A7" s="647" t="s">
        <v>657</v>
      </c>
      <c r="B7" s="660">
        <v>27.7</v>
      </c>
      <c r="C7" s="661">
        <v>3.38</v>
      </c>
      <c r="D7" s="662">
        <f>B7/5</f>
        <v>5.54</v>
      </c>
      <c r="E7" s="656">
        <f>27.7/89.9</f>
        <v>0.30812013348164624</v>
      </c>
      <c r="F7" s="649" t="s">
        <v>669</v>
      </c>
      <c r="G7" s="640" t="s">
        <v>670</v>
      </c>
      <c r="H7" s="645">
        <f>33.9/87</f>
        <v>0.3896551724137931</v>
      </c>
      <c r="I7" s="640" t="s">
        <v>671</v>
      </c>
      <c r="J7" s="632"/>
      <c r="K7" s="632"/>
      <c r="L7" s="632"/>
      <c r="M7" s="632"/>
      <c r="N7" s="632"/>
      <c r="O7" s="632"/>
    </row>
    <row r="8" ht="15">
      <c r="A8" s="637" t="s">
        <v>652</v>
      </c>
    </row>
    <row r="9" spans="9:11" ht="12.75">
      <c r="I9">
        <v>121.1</v>
      </c>
      <c r="J9" t="s">
        <v>208</v>
      </c>
      <c r="K9" t="s">
        <v>688</v>
      </c>
    </row>
    <row r="10" spans="9:11" ht="12.75">
      <c r="I10" s="765" t="s">
        <v>694</v>
      </c>
      <c r="J10" s="765"/>
      <c r="K10" s="765"/>
    </row>
    <row r="11" spans="1:11" ht="12.75">
      <c r="A11" s="115" t="s">
        <v>673</v>
      </c>
      <c r="B11" s="115" t="s">
        <v>674</v>
      </c>
      <c r="C11" s="762" t="s">
        <v>658</v>
      </c>
      <c r="D11" s="762"/>
      <c r="E11" s="763" t="s">
        <v>680</v>
      </c>
      <c r="I11" s="765"/>
      <c r="J11" s="765"/>
      <c r="K11" s="765"/>
    </row>
    <row r="12" spans="1:11" ht="12.75">
      <c r="A12" s="115"/>
      <c r="B12" s="115"/>
      <c r="C12" s="115" t="s">
        <v>672</v>
      </c>
      <c r="D12" s="115" t="s">
        <v>659</v>
      </c>
      <c r="E12" s="764"/>
      <c r="I12" s="765"/>
      <c r="J12" s="765"/>
      <c r="K12" s="765"/>
    </row>
    <row r="13" spans="1:5" ht="12.75" hidden="1">
      <c r="A13" s="115"/>
      <c r="B13" s="115">
        <v>175.85</v>
      </c>
      <c r="C13" s="115">
        <v>30</v>
      </c>
      <c r="D13" s="115"/>
      <c r="E13" s="115"/>
    </row>
    <row r="14" spans="1:5" ht="12.75">
      <c r="A14" s="115" t="s">
        <v>654</v>
      </c>
      <c r="B14" s="115">
        <v>150.85</v>
      </c>
      <c r="C14" s="642">
        <f>B14/B$13*C$13*1000000</f>
        <v>25735001.42166619</v>
      </c>
      <c r="D14" s="643">
        <f>C14/5</f>
        <v>5147000.284333238</v>
      </c>
      <c r="E14" s="644">
        <f>D14/D$14</f>
        <v>1</v>
      </c>
    </row>
    <row r="15" spans="1:5" ht="12.75">
      <c r="A15" s="115" t="s">
        <v>655</v>
      </c>
      <c r="B15" s="115">
        <v>102</v>
      </c>
      <c r="C15" s="642">
        <f>B15/B$13*C$13*1000000</f>
        <v>17401194.199601937</v>
      </c>
      <c r="D15" s="643">
        <f>C15/5</f>
        <v>3480238.8399203876</v>
      </c>
      <c r="E15" s="644">
        <f>D15/D$14</f>
        <v>0.6761683791846207</v>
      </c>
    </row>
    <row r="16" spans="1:5" ht="12.75">
      <c r="A16" s="115" t="s">
        <v>319</v>
      </c>
      <c r="B16" s="115">
        <v>40</v>
      </c>
      <c r="C16" s="642">
        <f>B16/B$13*C$13*1000000</f>
        <v>6823997.725334092</v>
      </c>
      <c r="D16" s="643">
        <f>C16/5</f>
        <v>1364799.5450668184</v>
      </c>
      <c r="E16" s="644">
        <f>D16/D$14</f>
        <v>0.26516407026847866</v>
      </c>
    </row>
    <row r="17" spans="1:5" ht="12.75">
      <c r="A17" s="115" t="s">
        <v>656</v>
      </c>
      <c r="B17" s="115">
        <v>30</v>
      </c>
      <c r="C17" s="642">
        <f>B17/B$13*C$13*1000000</f>
        <v>5117998.294000569</v>
      </c>
      <c r="D17" s="643">
        <f>C17/5</f>
        <v>1023599.6588001137</v>
      </c>
      <c r="E17" s="644">
        <f>D17/D$14</f>
        <v>0.19887305270135897</v>
      </c>
    </row>
  </sheetData>
  <mergeCells count="3">
    <mergeCell ref="C11:D11"/>
    <mergeCell ref="E11:E12"/>
    <mergeCell ref="I10:K12"/>
  </mergeCells>
  <hyperlinks>
    <hyperlink ref="A2" r:id="rId1" display="Table 1. Mean Double-Stranded DNA Yields (μg) Equivalent to Those Obtained From 5-mL Whole-Blood Samples"/>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76"/>
  <sheetViews>
    <sheetView tabSelected="1" workbookViewId="0" topLeftCell="A1">
      <selection activeCell="E6" sqref="E6"/>
    </sheetView>
  </sheetViews>
  <sheetFormatPr defaultColWidth="9.00390625" defaultRowHeight="12.75"/>
  <cols>
    <col min="1" max="1" width="31.625" style="191" customWidth="1"/>
    <col min="2" max="2" width="4.50390625" style="191" customWidth="1"/>
    <col min="3" max="3" width="10.625" style="191" customWidth="1"/>
    <col min="4" max="4" width="10.00390625" style="191" customWidth="1"/>
    <col min="5" max="5" width="30.875" style="191" customWidth="1"/>
    <col min="6" max="6" width="8.875" style="191" customWidth="1"/>
    <col min="7" max="7" width="12.00390625" style="191" bestFit="1" customWidth="1"/>
    <col min="8" max="16384" width="8.875" style="191" customWidth="1"/>
  </cols>
  <sheetData>
    <row r="1" spans="1:5" ht="12">
      <c r="A1" s="190" t="s">
        <v>53</v>
      </c>
      <c r="B1" s="190"/>
      <c r="C1" s="190" t="s">
        <v>27</v>
      </c>
      <c r="D1" s="190" t="s">
        <v>28</v>
      </c>
      <c r="E1" s="190" t="s">
        <v>29</v>
      </c>
    </row>
    <row r="2" spans="1:5" ht="12">
      <c r="A2" s="705" t="s">
        <v>49</v>
      </c>
      <c r="B2" s="705"/>
      <c r="C2" s="705"/>
      <c r="D2" s="705"/>
      <c r="E2" s="705"/>
    </row>
    <row r="3" spans="1:5" ht="12">
      <c r="A3" s="192" t="s">
        <v>617</v>
      </c>
      <c r="B3" s="192" t="s">
        <v>55</v>
      </c>
      <c r="C3" s="192" t="s">
        <v>30</v>
      </c>
      <c r="D3" s="526">
        <v>7610000</v>
      </c>
      <c r="E3" s="190"/>
    </row>
    <row r="4" spans="1:5" ht="12">
      <c r="A4" s="192" t="s">
        <v>618</v>
      </c>
      <c r="B4" s="192" t="s">
        <v>55</v>
      </c>
      <c r="C4" s="192"/>
      <c r="D4" s="608">
        <f>D5/D3</f>
        <v>0.6754270696452037</v>
      </c>
      <c r="E4" s="190"/>
    </row>
    <row r="5" spans="1:5" ht="12">
      <c r="A5" s="192" t="s">
        <v>278</v>
      </c>
      <c r="B5" s="192" t="s">
        <v>55</v>
      </c>
      <c r="C5" s="192" t="s">
        <v>30</v>
      </c>
      <c r="D5" s="193">
        <v>5140000</v>
      </c>
      <c r="E5" s="190"/>
    </row>
    <row r="6" spans="1:5" ht="27" customHeight="1">
      <c r="A6" s="192" t="s">
        <v>621</v>
      </c>
      <c r="B6" s="192" t="s">
        <v>56</v>
      </c>
      <c r="C6" s="192" t="s">
        <v>30</v>
      </c>
      <c r="D6" s="524">
        <f>D3*1.07</f>
        <v>8142700.000000001</v>
      </c>
      <c r="E6" s="218" t="s">
        <v>623</v>
      </c>
    </row>
    <row r="7" spans="1:7" ht="26.25" customHeight="1">
      <c r="A7" s="192" t="s">
        <v>582</v>
      </c>
      <c r="B7" s="192" t="s">
        <v>56</v>
      </c>
      <c r="C7" s="192" t="s">
        <v>30</v>
      </c>
      <c r="D7" s="195">
        <f>D5*1.25</f>
        <v>6425000</v>
      </c>
      <c r="E7" s="218" t="s">
        <v>624</v>
      </c>
      <c r="F7" s="525"/>
      <c r="G7" s="525"/>
    </row>
    <row r="8" spans="1:6" ht="12">
      <c r="A8" s="192"/>
      <c r="B8" s="192"/>
      <c r="C8" s="192"/>
      <c r="D8" s="193"/>
      <c r="E8" s="192"/>
      <c r="F8" s="525"/>
    </row>
    <row r="9" spans="1:5" ht="12">
      <c r="A9" s="189" t="s">
        <v>59</v>
      </c>
      <c r="B9" s="189"/>
      <c r="C9" s="192" t="s">
        <v>31</v>
      </c>
      <c r="D9" s="192">
        <v>5000</v>
      </c>
      <c r="E9" s="192"/>
    </row>
    <row r="10" spans="1:5" ht="13.5" customHeight="1">
      <c r="A10" s="192" t="s">
        <v>103</v>
      </c>
      <c r="B10" s="192"/>
      <c r="C10" s="192" t="s">
        <v>31</v>
      </c>
      <c r="D10" s="194">
        <v>2</v>
      </c>
      <c r="E10" s="703" t="s">
        <v>626</v>
      </c>
    </row>
    <row r="11" spans="1:5" ht="21" customHeight="1">
      <c r="A11" s="192" t="s">
        <v>572</v>
      </c>
      <c r="B11" s="192"/>
      <c r="C11" s="192" t="s">
        <v>573</v>
      </c>
      <c r="D11" s="195">
        <f>Param3!C26</f>
        <v>6.672374500311001E-12</v>
      </c>
      <c r="E11" s="704" t="s">
        <v>574</v>
      </c>
    </row>
    <row r="12" spans="1:5" ht="12">
      <c r="A12" s="192" t="s">
        <v>465</v>
      </c>
      <c r="B12" s="192" t="s">
        <v>55</v>
      </c>
      <c r="C12" s="192" t="s">
        <v>195</v>
      </c>
      <c r="D12" s="524">
        <f>D3*D11</f>
        <v>5.077676994736672E-05</v>
      </c>
      <c r="E12" s="192"/>
    </row>
    <row r="13" spans="1:5" ht="12">
      <c r="A13" s="192" t="s">
        <v>579</v>
      </c>
      <c r="B13" s="192"/>
      <c r="C13" s="192" t="s">
        <v>193</v>
      </c>
      <c r="D13" s="195">
        <f>Param3!C11</f>
        <v>5.0098510449000006E-15</v>
      </c>
      <c r="E13" s="192" t="s">
        <v>574</v>
      </c>
    </row>
    <row r="14" spans="1:5" ht="12">
      <c r="A14" s="192"/>
      <c r="B14" s="192">
        <v>1</v>
      </c>
      <c r="C14" s="192" t="s">
        <v>590</v>
      </c>
      <c r="D14" s="195">
        <v>1000000000</v>
      </c>
      <c r="E14" s="192" t="s">
        <v>591</v>
      </c>
    </row>
    <row r="15" spans="1:5" ht="12">
      <c r="A15" s="192"/>
      <c r="B15" s="192"/>
      <c r="C15" s="192"/>
      <c r="D15" s="195"/>
      <c r="E15" s="192"/>
    </row>
    <row r="16" spans="1:5" ht="11.25" customHeight="1">
      <c r="A16" s="192" t="s">
        <v>607</v>
      </c>
      <c r="B16" s="192" t="s">
        <v>55</v>
      </c>
      <c r="C16" s="192" t="s">
        <v>276</v>
      </c>
      <c r="D16" s="195">
        <f>'nhDNA in blood'!Q88</f>
        <v>5.543E-08</v>
      </c>
      <c r="E16" s="703" t="s">
        <v>610</v>
      </c>
    </row>
    <row r="17" spans="1:5" ht="12">
      <c r="A17" s="192" t="s">
        <v>608</v>
      </c>
      <c r="B17" s="192"/>
      <c r="C17" s="192" t="s">
        <v>276</v>
      </c>
      <c r="D17" s="195">
        <f>'nhDNA in blood'!R88</f>
        <v>1.9723E-07</v>
      </c>
      <c r="E17" s="690"/>
    </row>
    <row r="18" spans="1:5" ht="12">
      <c r="A18" s="192" t="s">
        <v>609</v>
      </c>
      <c r="B18" s="192"/>
      <c r="C18" s="192" t="s">
        <v>276</v>
      </c>
      <c r="D18" s="195">
        <f>'nhDNA in blood'!S88</f>
        <v>3.5086000000000006E-07</v>
      </c>
      <c r="E18" s="704"/>
    </row>
    <row r="19" spans="1:5" ht="12">
      <c r="A19" s="192"/>
      <c r="B19" s="192"/>
      <c r="C19" s="192"/>
      <c r="D19" s="214"/>
      <c r="E19" s="192"/>
    </row>
    <row r="20" spans="1:7" ht="12">
      <c r="A20" s="192" t="s">
        <v>104</v>
      </c>
      <c r="B20" s="192" t="s">
        <v>55</v>
      </c>
      <c r="C20" s="192" t="s">
        <v>32</v>
      </c>
      <c r="D20" s="524">
        <f>D5*D10</f>
        <v>10280000</v>
      </c>
      <c r="E20" s="200"/>
      <c r="G20" s="195">
        <f>D20</f>
        <v>10280000</v>
      </c>
    </row>
    <row r="21" spans="1:7" ht="12">
      <c r="A21" s="192" t="s">
        <v>603</v>
      </c>
      <c r="B21" s="192" t="s">
        <v>55</v>
      </c>
      <c r="C21" s="192" t="s">
        <v>32</v>
      </c>
      <c r="D21" s="524">
        <f>D3*D10</f>
        <v>15220000</v>
      </c>
      <c r="E21" s="200"/>
      <c r="G21" s="193"/>
    </row>
    <row r="22" spans="1:8" ht="12.75" customHeight="1">
      <c r="A22" s="192" t="s">
        <v>619</v>
      </c>
      <c r="B22" s="192" t="s">
        <v>55</v>
      </c>
      <c r="C22" s="192" t="s">
        <v>30</v>
      </c>
      <c r="D22" s="526">
        <v>42000000</v>
      </c>
      <c r="E22" s="767" t="s">
        <v>695</v>
      </c>
      <c r="G22" s="193">
        <v>15000</v>
      </c>
      <c r="H22" s="773">
        <f>G22/D22</f>
        <v>0.00035714285714285714</v>
      </c>
    </row>
    <row r="23" spans="1:7" ht="25.5" customHeight="1">
      <c r="A23" s="218" t="s">
        <v>620</v>
      </c>
      <c r="B23" s="192"/>
      <c r="C23" s="192"/>
      <c r="D23" s="609">
        <v>7</v>
      </c>
      <c r="E23" s="768"/>
      <c r="G23" s="192">
        <f>D23</f>
        <v>7</v>
      </c>
    </row>
    <row r="24" spans="1:7" ht="11.25" customHeight="1">
      <c r="A24" s="192" t="s">
        <v>612</v>
      </c>
      <c r="B24" s="192" t="s">
        <v>55</v>
      </c>
      <c r="C24" s="192" t="s">
        <v>30</v>
      </c>
      <c r="D24" s="524">
        <f>D22/D23</f>
        <v>6000000</v>
      </c>
      <c r="E24" s="768"/>
      <c r="G24" s="524">
        <f>G22/G23</f>
        <v>2142.8571428571427</v>
      </c>
    </row>
    <row r="25" spans="1:7" ht="12.75" customHeight="1">
      <c r="A25" s="192" t="s">
        <v>60</v>
      </c>
      <c r="B25" s="192" t="s">
        <v>55</v>
      </c>
      <c r="C25" s="192" t="s">
        <v>33</v>
      </c>
      <c r="D25" s="527">
        <f>D24/D5</f>
        <v>1.1673151750972763</v>
      </c>
      <c r="E25" s="769"/>
      <c r="G25" s="229">
        <f>G24/D5</f>
        <v>0.0004168982768204558</v>
      </c>
    </row>
    <row r="26" spans="1:7" ht="47.25" customHeight="1">
      <c r="A26" s="192" t="s">
        <v>578</v>
      </c>
      <c r="B26" s="192" t="s">
        <v>55</v>
      </c>
      <c r="C26" s="192" t="s">
        <v>589</v>
      </c>
      <c r="D26" s="530">
        <f>D21*D11*1000000000</f>
        <v>101553.53989473343</v>
      </c>
      <c r="E26" s="218" t="s">
        <v>697</v>
      </c>
      <c r="F26" s="525"/>
      <c r="G26" s="530"/>
    </row>
    <row r="27" spans="1:7" ht="11.25">
      <c r="A27" s="192" t="s">
        <v>580</v>
      </c>
      <c r="B27" s="192" t="s">
        <v>55</v>
      </c>
      <c r="C27" s="192" t="s">
        <v>589</v>
      </c>
      <c r="D27" s="229">
        <f>D20*D25*D13*1000000000</f>
        <v>60.11821253880001</v>
      </c>
      <c r="E27" s="192" t="s">
        <v>627</v>
      </c>
      <c r="G27" s="771">
        <f>G20*G25*D13*1000000000</f>
        <v>0.021470790192428573</v>
      </c>
    </row>
    <row r="28" spans="1:5" ht="13.5" customHeight="1">
      <c r="A28" s="192" t="s">
        <v>611</v>
      </c>
      <c r="B28" s="192" t="s">
        <v>55</v>
      </c>
      <c r="C28" s="192"/>
      <c r="D28" s="766">
        <f>D27/(D26+D27)</f>
        <v>0.0005916351567161767</v>
      </c>
      <c r="E28" s="189" t="s">
        <v>613</v>
      </c>
    </row>
    <row r="29" spans="1:9" ht="13.5" customHeight="1">
      <c r="A29" s="192"/>
      <c r="B29" s="192"/>
      <c r="C29" s="192"/>
      <c r="D29" s="530"/>
      <c r="E29" s="189"/>
      <c r="G29" s="772">
        <f>G27/Param3!C12</f>
        <v>4285.714285714285</v>
      </c>
      <c r="H29" s="191" t="s">
        <v>698</v>
      </c>
      <c r="I29" s="191" t="s">
        <v>699</v>
      </c>
    </row>
    <row r="30" spans="1:5" ht="33.75" customHeight="1">
      <c r="A30" s="192" t="s">
        <v>61</v>
      </c>
      <c r="B30" s="192" t="s">
        <v>56</v>
      </c>
      <c r="C30" s="192" t="s">
        <v>33</v>
      </c>
      <c r="D30" s="194">
        <v>2</v>
      </c>
      <c r="E30" s="189" t="s">
        <v>625</v>
      </c>
    </row>
    <row r="31" spans="1:5" ht="11.25">
      <c r="A31" s="192" t="s">
        <v>57</v>
      </c>
      <c r="B31" s="192" t="s">
        <v>56</v>
      </c>
      <c r="C31" s="192" t="s">
        <v>32</v>
      </c>
      <c r="D31" s="524">
        <f>D7*D9</f>
        <v>32125000000</v>
      </c>
      <c r="E31" s="192"/>
    </row>
    <row r="32" spans="1:5" ht="11.25">
      <c r="A32" s="192" t="s">
        <v>104</v>
      </c>
      <c r="B32" s="192" t="s">
        <v>56</v>
      </c>
      <c r="C32" s="192" t="s">
        <v>32</v>
      </c>
      <c r="D32" s="524">
        <f>D7*D10</f>
        <v>12850000</v>
      </c>
      <c r="E32" s="192"/>
    </row>
    <row r="33" spans="1:5" ht="12" customHeight="1">
      <c r="A33" s="192" t="s">
        <v>603</v>
      </c>
      <c r="B33" s="192" t="s">
        <v>56</v>
      </c>
      <c r="C33" s="192" t="s">
        <v>32</v>
      </c>
      <c r="D33" s="524">
        <f>D6*D10</f>
        <v>16285400.000000002</v>
      </c>
      <c r="E33" s="192"/>
    </row>
    <row r="34" spans="1:5" ht="15" customHeight="1">
      <c r="A34" s="192" t="s">
        <v>578</v>
      </c>
      <c r="B34" s="192" t="s">
        <v>56</v>
      </c>
      <c r="C34" s="192" t="s">
        <v>589</v>
      </c>
      <c r="D34" s="530">
        <f>D33*D11*1000000000</f>
        <v>108662.28768736479</v>
      </c>
      <c r="E34" s="214"/>
    </row>
    <row r="35" spans="1:5" ht="15" customHeight="1">
      <c r="A35" s="192" t="s">
        <v>581</v>
      </c>
      <c r="B35" s="192" t="s">
        <v>56</v>
      </c>
      <c r="C35" s="192" t="s">
        <v>589</v>
      </c>
      <c r="D35" s="530">
        <f>D30*D13*D32*1000000000</f>
        <v>128.75317185393</v>
      </c>
      <c r="E35" s="189"/>
    </row>
    <row r="36" spans="1:5" ht="12" customHeight="1">
      <c r="A36" s="192" t="s">
        <v>592</v>
      </c>
      <c r="B36" s="192" t="s">
        <v>56</v>
      </c>
      <c r="C36" s="192"/>
      <c r="D36" s="531">
        <f>D35/(D34+D35)</f>
        <v>0.0011834905782411194</v>
      </c>
      <c r="E36" s="189" t="s">
        <v>583</v>
      </c>
    </row>
    <row r="37" spans="1:5" ht="15" customHeight="1">
      <c r="A37" s="192"/>
      <c r="B37" s="192"/>
      <c r="C37" s="192"/>
      <c r="D37" s="524"/>
      <c r="E37" s="189"/>
    </row>
    <row r="38" spans="1:5" ht="27" customHeight="1">
      <c r="A38" s="189" t="s">
        <v>107</v>
      </c>
      <c r="B38" s="192" t="s">
        <v>56</v>
      </c>
      <c r="C38" s="192" t="s">
        <v>106</v>
      </c>
      <c r="D38" s="233">
        <f>D7*D30/1000</f>
        <v>12850</v>
      </c>
      <c r="E38" s="189" t="s">
        <v>161</v>
      </c>
    </row>
    <row r="39" spans="1:5" ht="11.25">
      <c r="A39" s="192" t="s">
        <v>108</v>
      </c>
      <c r="B39" s="192" t="s">
        <v>56</v>
      </c>
      <c r="C39" s="192" t="s">
        <v>32</v>
      </c>
      <c r="D39" s="195">
        <f>D31*D30</f>
        <v>64250000000</v>
      </c>
      <c r="E39" s="192"/>
    </row>
    <row r="40" spans="1:5" ht="11.25">
      <c r="A40" s="192" t="s">
        <v>109</v>
      </c>
      <c r="B40" s="192" t="s">
        <v>56</v>
      </c>
      <c r="C40" s="192" t="s">
        <v>32</v>
      </c>
      <c r="D40" s="195">
        <f>D32*D30</f>
        <v>25700000</v>
      </c>
      <c r="E40" s="192" t="s">
        <v>584</v>
      </c>
    </row>
    <row r="41" spans="1:5" ht="11.25">
      <c r="A41" s="192" t="s">
        <v>105</v>
      </c>
      <c r="B41" s="192"/>
      <c r="C41" s="192"/>
      <c r="D41" s="232">
        <f>D10/D9</f>
        <v>0.0004</v>
      </c>
      <c r="E41" s="192" t="s">
        <v>110</v>
      </c>
    </row>
    <row r="42" spans="1:5" ht="11.25">
      <c r="A42" s="605"/>
      <c r="B42" s="606"/>
      <c r="C42" s="606"/>
      <c r="D42" s="607"/>
      <c r="E42" s="606"/>
    </row>
    <row r="43" spans="1:5" ht="24" customHeight="1">
      <c r="A43" s="688" t="s">
        <v>50</v>
      </c>
      <c r="B43" s="689"/>
      <c r="C43" s="689"/>
      <c r="D43" s="689"/>
      <c r="E43" s="689"/>
    </row>
    <row r="44" spans="1:5" ht="11.25">
      <c r="A44" s="192" t="s">
        <v>35</v>
      </c>
      <c r="B44" s="192"/>
      <c r="C44" s="192" t="s">
        <v>36</v>
      </c>
      <c r="D44" s="193">
        <v>1800000</v>
      </c>
      <c r="E44" s="192"/>
    </row>
    <row r="45" spans="1:5" ht="11.25">
      <c r="A45" s="189" t="s">
        <v>37</v>
      </c>
      <c r="B45" s="189"/>
      <c r="C45" s="192" t="s">
        <v>34</v>
      </c>
      <c r="D45" s="197">
        <v>0.05</v>
      </c>
      <c r="E45" s="192"/>
    </row>
    <row r="46" spans="1:5" ht="16.5" customHeight="1">
      <c r="A46" s="189" t="s">
        <v>38</v>
      </c>
      <c r="B46" s="189" t="s">
        <v>56</v>
      </c>
      <c r="C46" s="192" t="s">
        <v>36</v>
      </c>
      <c r="D46" s="198">
        <f>D44*D45</f>
        <v>90000</v>
      </c>
      <c r="E46" s="192"/>
    </row>
    <row r="47" spans="1:5" ht="27.75" customHeight="1">
      <c r="A47" s="189" t="s">
        <v>58</v>
      </c>
      <c r="B47" s="189" t="s">
        <v>55</v>
      </c>
      <c r="C47" s="192" t="s">
        <v>39</v>
      </c>
      <c r="D47" s="199">
        <v>1540</v>
      </c>
      <c r="E47" s="703" t="s">
        <v>172</v>
      </c>
    </row>
    <row r="48" spans="1:5" ht="28.5" customHeight="1">
      <c r="A48" s="189" t="s">
        <v>170</v>
      </c>
      <c r="B48" s="189" t="s">
        <v>56</v>
      </c>
      <c r="C48" s="192" t="s">
        <v>39</v>
      </c>
      <c r="D48" s="199">
        <v>20500</v>
      </c>
      <c r="E48" s="704"/>
    </row>
    <row r="49" spans="1:5" ht="57" customHeight="1" thickBot="1">
      <c r="A49" s="218" t="s">
        <v>184</v>
      </c>
      <c r="B49" s="218" t="s">
        <v>56</v>
      </c>
      <c r="C49" s="200" t="s">
        <v>106</v>
      </c>
      <c r="D49" s="231">
        <f>D48/D51</f>
        <v>41000</v>
      </c>
      <c r="E49" s="219" t="s">
        <v>173</v>
      </c>
    </row>
    <row r="50" spans="1:5" ht="11.25">
      <c r="A50" s="202" t="s">
        <v>40</v>
      </c>
      <c r="B50" s="203"/>
      <c r="C50" s="203" t="s">
        <v>41</v>
      </c>
      <c r="D50" s="222">
        <v>3</v>
      </c>
      <c r="E50" s="223" t="s">
        <v>163</v>
      </c>
    </row>
    <row r="51" spans="1:5" ht="33.75">
      <c r="A51" s="208" t="s">
        <v>174</v>
      </c>
      <c r="B51" s="192"/>
      <c r="C51" s="192" t="s">
        <v>41</v>
      </c>
      <c r="D51" s="194">
        <v>0.5</v>
      </c>
      <c r="E51" s="208" t="s">
        <v>171</v>
      </c>
    </row>
    <row r="52" spans="1:5" ht="11.25">
      <c r="A52" s="205" t="s">
        <v>42</v>
      </c>
      <c r="B52" s="192"/>
      <c r="C52" s="192" t="s">
        <v>36</v>
      </c>
      <c r="D52" s="196">
        <f>PI()*D50*D50/4</f>
        <v>7.0685834705770345</v>
      </c>
      <c r="E52" s="224"/>
    </row>
    <row r="53" spans="1:5" ht="12" thickBot="1">
      <c r="A53" s="225" t="s">
        <v>168</v>
      </c>
      <c r="B53" s="210"/>
      <c r="C53" s="210" t="s">
        <v>169</v>
      </c>
      <c r="D53" s="211">
        <f>D51*D52</f>
        <v>3.5342917352885173</v>
      </c>
      <c r="E53" s="226"/>
    </row>
    <row r="54" spans="1:5" ht="11.25">
      <c r="A54" s="213" t="s">
        <v>43</v>
      </c>
      <c r="B54" s="213"/>
      <c r="C54" s="213" t="s">
        <v>32</v>
      </c>
      <c r="D54" s="220">
        <v>5</v>
      </c>
      <c r="E54" s="221" t="s">
        <v>163</v>
      </c>
    </row>
    <row r="55" spans="1:5" ht="22.5">
      <c r="A55" s="189" t="s">
        <v>111</v>
      </c>
      <c r="B55" s="189"/>
      <c r="C55" s="192" t="s">
        <v>36</v>
      </c>
      <c r="D55" s="196">
        <f>D52*D54</f>
        <v>35.34291735288517</v>
      </c>
      <c r="E55" s="192" t="s">
        <v>112</v>
      </c>
    </row>
    <row r="56" spans="1:5" ht="11.25">
      <c r="A56" s="192" t="s">
        <v>44</v>
      </c>
      <c r="B56" s="192"/>
      <c r="C56" s="192" t="s">
        <v>32</v>
      </c>
      <c r="D56" s="195">
        <f>D48*D46</f>
        <v>1845000000</v>
      </c>
      <c r="E56" s="192"/>
    </row>
    <row r="57" spans="1:5" ht="12" thickBot="1">
      <c r="A57" s="200" t="s">
        <v>113</v>
      </c>
      <c r="B57" s="200"/>
      <c r="C57" s="200" t="s">
        <v>32</v>
      </c>
      <c r="D57" s="201">
        <f>D52*D54*D48</f>
        <v>724529.805734146</v>
      </c>
      <c r="E57" s="200"/>
    </row>
    <row r="58" spans="1:5" ht="12.75" customHeight="1">
      <c r="A58" s="202" t="s">
        <v>45</v>
      </c>
      <c r="B58" s="203" t="s">
        <v>55</v>
      </c>
      <c r="C58" s="203" t="s">
        <v>46</v>
      </c>
      <c r="D58" s="204">
        <f>500/0.02</f>
        <v>25000</v>
      </c>
      <c r="E58" s="700" t="s">
        <v>418</v>
      </c>
    </row>
    <row r="59" spans="1:5" ht="11.25">
      <c r="A59" s="205" t="s">
        <v>47</v>
      </c>
      <c r="B59" s="192" t="s">
        <v>55</v>
      </c>
      <c r="C59" s="192" t="s">
        <v>41</v>
      </c>
      <c r="D59" s="206">
        <v>0.2</v>
      </c>
      <c r="E59" s="701"/>
    </row>
    <row r="60" spans="1:5" ht="11.25">
      <c r="A60" s="205" t="s">
        <v>45</v>
      </c>
      <c r="B60" s="192" t="s">
        <v>55</v>
      </c>
      <c r="C60" s="192" t="s">
        <v>48</v>
      </c>
      <c r="D60" s="207">
        <f>D58*D59</f>
        <v>5000</v>
      </c>
      <c r="E60" s="702"/>
    </row>
    <row r="61" spans="1:5" ht="34.5" customHeight="1" thickBot="1">
      <c r="A61" s="209" t="s">
        <v>63</v>
      </c>
      <c r="B61" s="210" t="s">
        <v>55</v>
      </c>
      <c r="C61" s="210" t="s">
        <v>33</v>
      </c>
      <c r="D61" s="211">
        <f>D60/D47</f>
        <v>3.2467532467532467</v>
      </c>
      <c r="E61" s="212" t="s">
        <v>51</v>
      </c>
    </row>
    <row r="62" spans="1:5" ht="34.5" customHeight="1">
      <c r="A62" s="189" t="s">
        <v>62</v>
      </c>
      <c r="B62" s="189" t="s">
        <v>56</v>
      </c>
      <c r="C62" s="192" t="s">
        <v>33</v>
      </c>
      <c r="D62" s="528">
        <f>2*D30</f>
        <v>4</v>
      </c>
      <c r="E62" s="189" t="s">
        <v>588</v>
      </c>
    </row>
    <row r="63" spans="1:6" ht="12" customHeight="1">
      <c r="A63" s="189" t="s">
        <v>585</v>
      </c>
      <c r="B63" s="189" t="s">
        <v>56</v>
      </c>
      <c r="C63" s="192" t="s">
        <v>589</v>
      </c>
      <c r="D63" s="530">
        <f>D11*D57*1000000000</f>
        <v>4834.3342004957985</v>
      </c>
      <c r="E63" s="189"/>
      <c r="F63" s="529"/>
    </row>
    <row r="64" spans="1:6" ht="14.25" customHeight="1">
      <c r="A64" s="189" t="s">
        <v>586</v>
      </c>
      <c r="B64" s="189" t="s">
        <v>56</v>
      </c>
      <c r="C64" s="192" t="s">
        <v>589</v>
      </c>
      <c r="D64" s="530">
        <f>D13*D62*D57*1000000000</f>
        <v>14.519145617273622</v>
      </c>
      <c r="E64" s="189" t="s">
        <v>616</v>
      </c>
      <c r="F64" s="529"/>
    </row>
    <row r="65" spans="1:5" ht="12.75" customHeight="1">
      <c r="A65" s="192" t="s">
        <v>592</v>
      </c>
      <c r="B65" s="192" t="s">
        <v>56</v>
      </c>
      <c r="C65" s="192"/>
      <c r="D65" s="531">
        <f>D64/(D63+D64)</f>
        <v>0.0029943462053585164</v>
      </c>
      <c r="E65" s="189" t="s">
        <v>587</v>
      </c>
    </row>
    <row r="66" spans="1:5" ht="38.25" customHeight="1">
      <c r="A66" s="227" t="s">
        <v>175</v>
      </c>
      <c r="B66" s="227" t="s">
        <v>56</v>
      </c>
      <c r="C66" s="214" t="s">
        <v>106</v>
      </c>
      <c r="D66" s="230">
        <f>D49*D62</f>
        <v>164000</v>
      </c>
      <c r="E66" s="227" t="s">
        <v>118</v>
      </c>
    </row>
    <row r="67" spans="1:5" ht="15" customHeight="1">
      <c r="A67" s="189" t="s">
        <v>117</v>
      </c>
      <c r="B67" s="189" t="s">
        <v>56</v>
      </c>
      <c r="C67" s="192"/>
      <c r="D67" s="214">
        <v>0.3</v>
      </c>
      <c r="E67" s="189" t="s">
        <v>118</v>
      </c>
    </row>
    <row r="68" spans="1:5" ht="24" customHeight="1">
      <c r="A68" s="227" t="s">
        <v>120</v>
      </c>
      <c r="B68" s="227" t="s">
        <v>56</v>
      </c>
      <c r="C68" s="214" t="s">
        <v>106</v>
      </c>
      <c r="D68" s="230">
        <f>D38*D67</f>
        <v>3855</v>
      </c>
      <c r="E68" s="227" t="s">
        <v>177</v>
      </c>
    </row>
    <row r="69" spans="1:5" ht="24" customHeight="1">
      <c r="A69" s="227" t="s">
        <v>119</v>
      </c>
      <c r="B69" s="227" t="s">
        <v>56</v>
      </c>
      <c r="C69" s="214" t="s">
        <v>106</v>
      </c>
      <c r="D69" s="230">
        <f>D66-D68</f>
        <v>160145</v>
      </c>
      <c r="E69" s="227" t="s">
        <v>176</v>
      </c>
    </row>
    <row r="70" spans="1:5" ht="12.75" customHeight="1">
      <c r="A70" s="189" t="s">
        <v>121</v>
      </c>
      <c r="B70" s="189" t="s">
        <v>56</v>
      </c>
      <c r="C70" s="192"/>
      <c r="D70" s="229">
        <f>D68/D66</f>
        <v>0.02350609756097561</v>
      </c>
      <c r="E70" s="189" t="s">
        <v>118</v>
      </c>
    </row>
    <row r="71" spans="1:5" ht="11.25">
      <c r="A71" s="189" t="s">
        <v>114</v>
      </c>
      <c r="B71" s="192" t="s">
        <v>56</v>
      </c>
      <c r="C71" s="192" t="s">
        <v>32</v>
      </c>
      <c r="D71" s="195">
        <f>D56*D62</f>
        <v>7380000000</v>
      </c>
      <c r="E71" s="192"/>
    </row>
    <row r="72" spans="1:5" ht="22.5">
      <c r="A72" s="189" t="s">
        <v>115</v>
      </c>
      <c r="B72" s="192" t="s">
        <v>56</v>
      </c>
      <c r="C72" s="192" t="s">
        <v>32</v>
      </c>
      <c r="D72" s="195">
        <f>D57*D62</f>
        <v>2898119.222936584</v>
      </c>
      <c r="E72" s="192" t="s">
        <v>584</v>
      </c>
    </row>
    <row r="73" spans="1:5" ht="33.75">
      <c r="A73" s="192" t="s">
        <v>116</v>
      </c>
      <c r="B73" s="192" t="s">
        <v>56</v>
      </c>
      <c r="C73" s="192"/>
      <c r="D73" s="228">
        <f>D55/D46</f>
        <v>0.00039269908169872416</v>
      </c>
      <c r="E73" s="189" t="s">
        <v>52</v>
      </c>
    </row>
    <row r="74" spans="1:5" ht="11.25">
      <c r="A74" s="215"/>
      <c r="B74" s="215"/>
      <c r="C74" s="215"/>
      <c r="D74" s="216"/>
      <c r="E74" s="217"/>
    </row>
    <row r="75" ht="11.25">
      <c r="A75" s="191" t="s">
        <v>64</v>
      </c>
    </row>
    <row r="76" ht="11.25">
      <c r="A76" s="191" t="s">
        <v>65</v>
      </c>
    </row>
  </sheetData>
  <mergeCells count="7">
    <mergeCell ref="E58:E60"/>
    <mergeCell ref="E47:E48"/>
    <mergeCell ref="A2:E2"/>
    <mergeCell ref="A43:E43"/>
    <mergeCell ref="E16:E18"/>
    <mergeCell ref="E10:E11"/>
    <mergeCell ref="E22:E2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138"/>
  <sheetViews>
    <sheetView workbookViewId="0" topLeftCell="A2">
      <selection activeCell="A1" sqref="A1"/>
    </sheetView>
  </sheetViews>
  <sheetFormatPr defaultColWidth="9.00390625" defaultRowHeight="12.75"/>
  <cols>
    <col min="1" max="1" width="3.875" style="0" customWidth="1"/>
    <col min="2" max="2" width="6.25390625" style="0" customWidth="1"/>
    <col min="3" max="3" width="10.50390625" style="0" customWidth="1"/>
    <col min="4" max="4" width="11.50390625" style="2" customWidth="1"/>
    <col min="5" max="5" width="9.50390625" style="6" bestFit="1" customWidth="1"/>
    <col min="6" max="6" width="8.875" style="23" customWidth="1"/>
    <col min="7" max="7" width="8.375" style="0" customWidth="1"/>
    <col min="8" max="8" width="10.25390625" style="0" customWidth="1"/>
    <col min="9" max="9" width="17.625" style="0" customWidth="1"/>
    <col min="10" max="10" width="3.25390625" style="0" customWidth="1"/>
    <col min="11" max="11" width="2.125" style="0" customWidth="1"/>
  </cols>
  <sheetData>
    <row r="1" spans="7:9" ht="12" customHeight="1" hidden="1">
      <c r="G1" t="s">
        <v>4</v>
      </c>
      <c r="H1" t="s">
        <v>54</v>
      </c>
      <c r="I1" t="s">
        <v>329</v>
      </c>
    </row>
    <row r="2" ht="12.75">
      <c r="C2" t="s">
        <v>11</v>
      </c>
    </row>
    <row r="3" spans="2:4" ht="12.75">
      <c r="B3" s="37" t="s">
        <v>66</v>
      </c>
      <c r="C3" s="90">
        <v>0.05</v>
      </c>
      <c r="D3" s="2" t="s">
        <v>101</v>
      </c>
    </row>
    <row r="4" spans="2:4" ht="12.75">
      <c r="B4" s="115" t="s">
        <v>179</v>
      </c>
      <c r="C4" s="90">
        <v>0.45</v>
      </c>
      <c r="D4" s="2" t="s">
        <v>180</v>
      </c>
    </row>
    <row r="5" spans="2:4" ht="12.75">
      <c r="B5" s="115" t="s">
        <v>178</v>
      </c>
      <c r="C5" s="53">
        <v>0.85</v>
      </c>
      <c r="D5" s="2" t="s">
        <v>181</v>
      </c>
    </row>
    <row r="6" spans="2:8" ht="12.75">
      <c r="B6" s="37" t="s">
        <v>1</v>
      </c>
      <c r="C6" s="90">
        <f>0.12</f>
        <v>0.12</v>
      </c>
      <c r="D6" s="56" t="s">
        <v>2</v>
      </c>
      <c r="E6" s="57" t="s">
        <v>102</v>
      </c>
      <c r="F6" s="58"/>
      <c r="G6" s="59"/>
      <c r="H6" s="59"/>
    </row>
    <row r="7" spans="2:8" ht="12.75" hidden="1">
      <c r="B7" s="37" t="s">
        <v>67</v>
      </c>
      <c r="C7" s="91">
        <f>E96</f>
        <v>0.1216254347298472</v>
      </c>
      <c r="D7" s="56" t="s">
        <v>69</v>
      </c>
      <c r="E7" s="57"/>
      <c r="F7" s="58"/>
      <c r="G7" s="59"/>
      <c r="H7" s="59"/>
    </row>
    <row r="8" spans="2:8" ht="12.75" hidden="1">
      <c r="B8" s="37" t="s">
        <v>68</v>
      </c>
      <c r="C8" s="91">
        <f>E101</f>
        <v>0.11445924931797563</v>
      </c>
      <c r="D8" s="56" t="s">
        <v>70</v>
      </c>
      <c r="E8" s="57"/>
      <c r="F8" s="58"/>
      <c r="G8" s="59"/>
      <c r="H8" s="59"/>
    </row>
    <row r="9" spans="2:8" ht="12.75" hidden="1">
      <c r="B9" s="37" t="s">
        <v>74</v>
      </c>
      <c r="C9" s="91">
        <f>E57</f>
        <v>0.1140493268793413</v>
      </c>
      <c r="D9" s="56" t="s">
        <v>75</v>
      </c>
      <c r="E9" s="57"/>
      <c r="F9" s="58"/>
      <c r="G9" s="59"/>
      <c r="H9" s="59"/>
    </row>
    <row r="10" spans="2:4" ht="12.75">
      <c r="B10" s="92" t="s">
        <v>0</v>
      </c>
      <c r="C10" s="93">
        <f>D28</f>
        <v>0.12135666363024666</v>
      </c>
      <c r="D10" s="2" t="s">
        <v>84</v>
      </c>
    </row>
    <row r="11" spans="2:8" ht="12.75">
      <c r="B11" s="37" t="s">
        <v>19</v>
      </c>
      <c r="C11" s="94">
        <f>B137*C6/D137</f>
        <v>0.018898912248758126</v>
      </c>
      <c r="D11" s="56" t="s">
        <v>6</v>
      </c>
      <c r="E11" s="57" t="s">
        <v>99</v>
      </c>
      <c r="F11" s="58"/>
      <c r="G11" s="59"/>
      <c r="H11" s="59"/>
    </row>
    <row r="12" spans="2:8" ht="12.75">
      <c r="B12" s="37" t="s">
        <v>19</v>
      </c>
      <c r="C12" s="94">
        <f>G137/D137</f>
        <v>0.01914811514372258</v>
      </c>
      <c r="D12" s="56" t="s">
        <v>7</v>
      </c>
      <c r="E12" s="57" t="s">
        <v>100</v>
      </c>
      <c r="F12" s="58"/>
      <c r="G12" s="59"/>
      <c r="H12" s="59"/>
    </row>
    <row r="13" spans="2:8" ht="13.5" thickBot="1">
      <c r="B13" s="67"/>
      <c r="C13" s="68"/>
      <c r="D13" s="56"/>
      <c r="E13" s="57"/>
      <c r="F13" s="58"/>
      <c r="G13" s="59"/>
      <c r="H13" s="59"/>
    </row>
    <row r="14" spans="2:9" ht="12.75">
      <c r="B14" s="76"/>
      <c r="C14" s="77" t="s">
        <v>330</v>
      </c>
      <c r="D14" s="77"/>
      <c r="E14" s="77"/>
      <c r="F14" s="77"/>
      <c r="G14" s="77"/>
      <c r="H14" s="77"/>
      <c r="I14" s="78"/>
    </row>
    <row r="15" spans="2:9" ht="12.75">
      <c r="B15" s="108" t="s">
        <v>81</v>
      </c>
      <c r="C15" s="86" t="s">
        <v>77</v>
      </c>
      <c r="D15" s="87"/>
      <c r="E15" s="87" t="s">
        <v>129</v>
      </c>
      <c r="F15" s="87"/>
      <c r="G15" s="87"/>
      <c r="H15" s="87"/>
      <c r="I15" s="109"/>
    </row>
    <row r="16" spans="2:9" ht="12.75">
      <c r="B16" s="79"/>
      <c r="C16" s="59" t="s">
        <v>0</v>
      </c>
      <c r="D16" s="81">
        <f>AVERAGE(C$7,C$8,C$9)</f>
        <v>0.11671133697572138</v>
      </c>
      <c r="E16" s="59" t="s">
        <v>71</v>
      </c>
      <c r="F16" s="59"/>
      <c r="G16" s="59"/>
      <c r="H16" s="59"/>
      <c r="I16" s="80"/>
    </row>
    <row r="17" spans="2:9" ht="12.75">
      <c r="B17" s="79"/>
      <c r="C17" s="59" t="s">
        <v>72</v>
      </c>
      <c r="D17" s="81">
        <f>STDEVP(C$7,C$8,C$9)</f>
        <v>0.003478819402637656</v>
      </c>
      <c r="E17" s="59" t="s">
        <v>122</v>
      </c>
      <c r="F17" s="59"/>
      <c r="G17" s="59"/>
      <c r="H17" s="59"/>
      <c r="I17" s="80"/>
    </row>
    <row r="18" spans="2:9" ht="12.75">
      <c r="B18" s="79"/>
      <c r="C18" s="121" t="s">
        <v>124</v>
      </c>
      <c r="D18" s="81">
        <f>D17/D16</f>
        <v>0.029807039254132868</v>
      </c>
      <c r="E18" s="121" t="s">
        <v>123</v>
      </c>
      <c r="F18" s="59"/>
      <c r="G18" s="59"/>
      <c r="H18" s="59"/>
      <c r="I18" s="80"/>
    </row>
    <row r="19" spans="2:9" ht="12.75">
      <c r="B19" s="79"/>
      <c r="C19" s="121" t="s">
        <v>125</v>
      </c>
      <c r="D19" s="81">
        <f>D16-3*D17</f>
        <v>0.10627487876780842</v>
      </c>
      <c r="E19" s="59"/>
      <c r="F19" s="59"/>
      <c r="G19" s="59"/>
      <c r="H19" s="59"/>
      <c r="I19" s="80"/>
    </row>
    <row r="20" spans="2:9" ht="12.75">
      <c r="B20" s="110"/>
      <c r="C20" s="88" t="s">
        <v>126</v>
      </c>
      <c r="D20" s="89">
        <f>D16+3*D17</f>
        <v>0.12714779518363434</v>
      </c>
      <c r="E20" s="88"/>
      <c r="F20" s="88"/>
      <c r="G20" s="88"/>
      <c r="H20" s="88"/>
      <c r="I20" s="111"/>
    </row>
    <row r="21" spans="2:9" ht="12.75">
      <c r="B21" s="112" t="s">
        <v>76</v>
      </c>
      <c r="C21" s="87" t="s">
        <v>80</v>
      </c>
      <c r="D21" s="87"/>
      <c r="E21" s="87"/>
      <c r="F21" s="87" t="s">
        <v>127</v>
      </c>
      <c r="H21" s="87"/>
      <c r="I21" s="109"/>
    </row>
    <row r="22" spans="2:9" ht="12.75">
      <c r="B22" s="79"/>
      <c r="C22" s="59" t="s">
        <v>0</v>
      </c>
      <c r="D22" s="81">
        <f>AVERAGE(C$7,C$8,C$9,E$78,E$120,E$111,E$66,E$127,E$129,E$135,E$90)</f>
        <v>0.12034730125633125</v>
      </c>
      <c r="E22" s="59" t="s">
        <v>71</v>
      </c>
      <c r="F22" s="59"/>
      <c r="G22" s="59"/>
      <c r="H22" s="59"/>
      <c r="I22" s="80"/>
    </row>
    <row r="23" spans="2:9" ht="12.75">
      <c r="B23" s="79"/>
      <c r="C23" s="59" t="s">
        <v>72</v>
      </c>
      <c r="D23" s="81">
        <f>STDEVP(C$7,C$8,C$9,E$78,E$120,E$111,E$66,E$127,E$129,E$135,E$90)</f>
        <v>0.00369197937058642</v>
      </c>
      <c r="E23" s="59" t="s">
        <v>122</v>
      </c>
      <c r="F23" s="59"/>
      <c r="G23" s="59"/>
      <c r="H23" s="59"/>
      <c r="I23" s="80"/>
    </row>
    <row r="24" spans="2:9" ht="12.75">
      <c r="B24" s="79"/>
      <c r="C24" s="121" t="s">
        <v>158</v>
      </c>
      <c r="D24" s="81">
        <f>D23/D22</f>
        <v>0.030677708033707913</v>
      </c>
      <c r="E24" s="121" t="s">
        <v>123</v>
      </c>
      <c r="F24" s="59"/>
      <c r="G24" s="59"/>
      <c r="H24" s="59"/>
      <c r="I24" s="80"/>
    </row>
    <row r="25" spans="2:9" ht="12.75">
      <c r="B25" s="79"/>
      <c r="C25" s="121" t="s">
        <v>125</v>
      </c>
      <c r="D25" s="81">
        <f>D22-3*D23</f>
        <v>0.10927136314457199</v>
      </c>
      <c r="E25" s="59"/>
      <c r="F25" s="59"/>
      <c r="G25" s="59"/>
      <c r="H25" s="59"/>
      <c r="I25" s="80"/>
    </row>
    <row r="26" spans="2:9" ht="12.75">
      <c r="B26" s="110"/>
      <c r="C26" s="88" t="s">
        <v>126</v>
      </c>
      <c r="D26" s="89">
        <f>D22+3*D23</f>
        <v>0.1314232393680905</v>
      </c>
      <c r="E26" s="88"/>
      <c r="F26" s="88"/>
      <c r="G26" s="88"/>
      <c r="H26" s="88"/>
      <c r="I26" s="111"/>
    </row>
    <row r="27" spans="2:9" ht="12.75">
      <c r="B27" s="107" t="s">
        <v>78</v>
      </c>
      <c r="C27" s="59" t="s">
        <v>83</v>
      </c>
      <c r="D27" s="59"/>
      <c r="E27" s="59"/>
      <c r="F27" s="87" t="s">
        <v>127</v>
      </c>
      <c r="G27" s="59"/>
      <c r="H27" s="59"/>
      <c r="I27" s="80"/>
    </row>
    <row r="28" spans="2:9" ht="12.75">
      <c r="B28" s="79"/>
      <c r="C28" s="67" t="s">
        <v>0</v>
      </c>
      <c r="D28" s="81">
        <f>AVERAGE(C$7,C$8,C$9,E$78,E$120,E$111,E$66,E$127,E$129,E$135,E$90,E$132)</f>
        <v>0.12135666363024666</v>
      </c>
      <c r="E28" s="59" t="s">
        <v>85</v>
      </c>
      <c r="F28" s="59"/>
      <c r="G28" s="59"/>
      <c r="H28" s="59"/>
      <c r="I28" s="80"/>
    </row>
    <row r="29" spans="2:9" ht="12.75">
      <c r="B29" s="79"/>
      <c r="C29" s="59" t="s">
        <v>72</v>
      </c>
      <c r="D29" s="81">
        <f>STDEVP(C$7,C$8,C$9,E$78,E$120,E$111,E$66,E$127,E$129,E$135,E$90,E$132)</f>
        <v>0.004868444870189086</v>
      </c>
      <c r="E29" s="59" t="s">
        <v>122</v>
      </c>
      <c r="F29" s="59"/>
      <c r="G29" s="59"/>
      <c r="H29" s="59"/>
      <c r="I29" s="80"/>
    </row>
    <row r="30" spans="2:9" ht="12.75">
      <c r="B30" s="79"/>
      <c r="C30" s="121" t="s">
        <v>158</v>
      </c>
      <c r="D30" s="81">
        <f>D29/D28</f>
        <v>0.04011683186200981</v>
      </c>
      <c r="E30" s="121" t="s">
        <v>123</v>
      </c>
      <c r="F30" s="59"/>
      <c r="G30" s="59"/>
      <c r="H30" s="59"/>
      <c r="I30" s="80"/>
    </row>
    <row r="31" spans="2:9" ht="12.75">
      <c r="B31" s="79"/>
      <c r="C31" s="121" t="s">
        <v>125</v>
      </c>
      <c r="D31" s="81">
        <f>D28-3*D29</f>
        <v>0.1067513290196794</v>
      </c>
      <c r="E31" s="59"/>
      <c r="F31" s="59"/>
      <c r="G31" s="59"/>
      <c r="H31" s="59"/>
      <c r="I31" s="80"/>
    </row>
    <row r="32" spans="2:9" ht="13.5" thickBot="1">
      <c r="B32" s="82"/>
      <c r="C32" s="88" t="s">
        <v>126</v>
      </c>
      <c r="D32" s="84">
        <f>D28+3*D29</f>
        <v>0.13596199824081392</v>
      </c>
      <c r="E32" s="83"/>
      <c r="F32" s="83"/>
      <c r="G32" s="83"/>
      <c r="H32" s="83"/>
      <c r="I32" s="85"/>
    </row>
    <row r="33" spans="2:8" ht="15" customHeight="1">
      <c r="B33" s="67"/>
      <c r="C33" s="68"/>
      <c r="D33" s="56"/>
      <c r="E33" s="57"/>
      <c r="F33" s="58"/>
      <c r="G33" s="59"/>
      <c r="H33" s="59"/>
    </row>
    <row r="34" spans="1:10" ht="24.75" customHeight="1">
      <c r="A34" s="115"/>
      <c r="B34" s="699" t="s">
        <v>87</v>
      </c>
      <c r="C34" s="699"/>
      <c r="D34" s="699"/>
      <c r="E34" s="7"/>
      <c r="F34" s="117"/>
      <c r="G34" s="698" t="s">
        <v>88</v>
      </c>
      <c r="H34" s="698"/>
      <c r="I34" s="115"/>
      <c r="J34" t="s">
        <v>138</v>
      </c>
    </row>
    <row r="35" spans="1:9" ht="12.75">
      <c r="A35" s="115"/>
      <c r="B35" s="116"/>
      <c r="C35" s="115"/>
      <c r="D35" s="34" t="s">
        <v>94</v>
      </c>
      <c r="E35" s="7"/>
      <c r="F35" s="118" t="s">
        <v>3</v>
      </c>
      <c r="G35" s="698"/>
      <c r="H35" s="698"/>
      <c r="I35" s="120"/>
    </row>
    <row r="36" spans="1:11" ht="12.75">
      <c r="A36" s="95" t="s">
        <v>18</v>
      </c>
      <c r="B36" s="96" t="s">
        <v>91</v>
      </c>
      <c r="C36" s="97" t="s">
        <v>90</v>
      </c>
      <c r="D36" s="98" t="s">
        <v>92</v>
      </c>
      <c r="E36" s="99" t="s">
        <v>93</v>
      </c>
      <c r="F36" s="25"/>
      <c r="G36" s="36" t="s">
        <v>89</v>
      </c>
      <c r="H36" s="448" t="s">
        <v>90</v>
      </c>
      <c r="I36" s="35"/>
      <c r="J36" t="s">
        <v>136</v>
      </c>
      <c r="K36" t="s">
        <v>137</v>
      </c>
    </row>
    <row r="37" spans="1:11" ht="12.75">
      <c r="A37" s="19">
        <v>11</v>
      </c>
      <c r="B37" s="22">
        <f>A37*C$4*ABS(ROUND(COS(A37)*10,0))</f>
        <v>0</v>
      </c>
      <c r="C37" s="11">
        <f>C$5*ROUND(ABS(SIN(A37+5)-1)*1000,0)</f>
        <v>1094.8</v>
      </c>
      <c r="D37" s="3">
        <f aca="true" t="shared" si="0" ref="D37:D68">C37+B37*(C$6*(1+C$3*SIN(A37)))</f>
        <v>1094.8</v>
      </c>
      <c r="E37" s="49">
        <f aca="true" t="shared" si="1" ref="E37:E68">IF(B37&gt;0,D37/B37,10000)</f>
        <v>10000</v>
      </c>
      <c r="F37" s="24" t="str">
        <f aca="true" t="shared" si="2" ref="F37:F68">IF(E37=10000,G$1,IF(D37=G37,H$1,I$1))</f>
        <v>R</v>
      </c>
      <c r="G37" s="13">
        <f aca="true" t="shared" si="3" ref="G37:G56">B37*C$10</f>
        <v>0</v>
      </c>
      <c r="H37" s="14">
        <f aca="true" t="shared" si="4" ref="H37:H68">D37-G37</f>
        <v>1094.8</v>
      </c>
      <c r="I37" s="11"/>
      <c r="J37" s="157">
        <f>D$31</f>
        <v>0.1067513290196794</v>
      </c>
      <c r="K37" s="157">
        <f>D$32</f>
        <v>0.13596199824081392</v>
      </c>
    </row>
    <row r="38" spans="1:11" ht="12.75">
      <c r="A38" s="19">
        <v>33</v>
      </c>
      <c r="B38" s="22">
        <f aca="true" t="shared" si="5" ref="B38:B101">A38*C$4*ABS(ROUND(COS(A38)*10,0))</f>
        <v>0</v>
      </c>
      <c r="C38" s="11">
        <f aca="true" t="shared" si="6" ref="C38:C102">C$5*ROUND(ABS(SIN(A38+5)-1)*1000,0)</f>
        <v>598.4</v>
      </c>
      <c r="D38" s="3">
        <f t="shared" si="0"/>
        <v>598.4</v>
      </c>
      <c r="E38" s="49">
        <f t="shared" si="1"/>
        <v>10000</v>
      </c>
      <c r="F38" s="24" t="str">
        <f t="shared" si="2"/>
        <v>R</v>
      </c>
      <c r="G38" s="13">
        <f t="shared" si="3"/>
        <v>0</v>
      </c>
      <c r="H38" s="14">
        <f t="shared" si="4"/>
        <v>598.4</v>
      </c>
      <c r="I38" s="11"/>
      <c r="J38" s="157">
        <f aca="true" t="shared" si="7" ref="J38:J101">D$31</f>
        <v>0.1067513290196794</v>
      </c>
      <c r="K38" s="157">
        <f aca="true" t="shared" si="8" ref="K38:K101">D$32</f>
        <v>0.13596199824081392</v>
      </c>
    </row>
    <row r="39" spans="1:11" ht="12.75">
      <c r="A39" s="19">
        <v>55</v>
      </c>
      <c r="B39" s="22">
        <f t="shared" si="5"/>
        <v>0</v>
      </c>
      <c r="C39" s="11">
        <f t="shared" si="6"/>
        <v>1109.25</v>
      </c>
      <c r="D39" s="3">
        <f t="shared" si="0"/>
        <v>1109.25</v>
      </c>
      <c r="E39" s="49">
        <f t="shared" si="1"/>
        <v>10000</v>
      </c>
      <c r="F39" s="24" t="str">
        <f t="shared" si="2"/>
        <v>R</v>
      </c>
      <c r="G39" s="13">
        <f t="shared" si="3"/>
        <v>0</v>
      </c>
      <c r="H39" s="14">
        <f t="shared" si="4"/>
        <v>1109.25</v>
      </c>
      <c r="I39" s="11"/>
      <c r="J39" s="157">
        <f t="shared" si="7"/>
        <v>0.1067513290196794</v>
      </c>
      <c r="K39" s="157">
        <f t="shared" si="8"/>
        <v>0.13596199824081392</v>
      </c>
    </row>
    <row r="40" spans="1:11" ht="12.75">
      <c r="A40" s="19">
        <v>77</v>
      </c>
      <c r="B40" s="22">
        <f t="shared" si="5"/>
        <v>0</v>
      </c>
      <c r="C40" s="11">
        <f t="shared" si="6"/>
        <v>583.9499999999999</v>
      </c>
      <c r="D40" s="3">
        <f t="shared" si="0"/>
        <v>583.9499999999999</v>
      </c>
      <c r="E40" s="49">
        <f t="shared" si="1"/>
        <v>10000</v>
      </c>
      <c r="F40" s="24" t="str">
        <f t="shared" si="2"/>
        <v>R</v>
      </c>
      <c r="G40" s="13">
        <f t="shared" si="3"/>
        <v>0</v>
      </c>
      <c r="H40" s="14">
        <f t="shared" si="4"/>
        <v>583.9499999999999</v>
      </c>
      <c r="I40" s="11"/>
      <c r="J40" s="157">
        <f t="shared" si="7"/>
        <v>0.1067513290196794</v>
      </c>
      <c r="K40" s="157">
        <f t="shared" si="8"/>
        <v>0.13596199824081392</v>
      </c>
    </row>
    <row r="41" spans="1:11" ht="12.75">
      <c r="A41" s="19">
        <v>99</v>
      </c>
      <c r="B41" s="22">
        <f t="shared" si="5"/>
        <v>0</v>
      </c>
      <c r="C41" s="11">
        <f t="shared" si="6"/>
        <v>1123.7</v>
      </c>
      <c r="D41" s="3">
        <f t="shared" si="0"/>
        <v>1123.7</v>
      </c>
      <c r="E41" s="49">
        <f t="shared" si="1"/>
        <v>10000</v>
      </c>
      <c r="F41" s="24" t="str">
        <f t="shared" si="2"/>
        <v>R</v>
      </c>
      <c r="G41" s="13">
        <f t="shared" si="3"/>
        <v>0</v>
      </c>
      <c r="H41" s="14">
        <f t="shared" si="4"/>
        <v>1123.7</v>
      </c>
      <c r="I41" s="11"/>
      <c r="J41" s="157">
        <f t="shared" si="7"/>
        <v>0.1067513290196794</v>
      </c>
      <c r="K41" s="157">
        <f t="shared" si="8"/>
        <v>0.13596199824081392</v>
      </c>
    </row>
    <row r="42" spans="1:11" ht="12.75">
      <c r="A42" s="19">
        <v>14</v>
      </c>
      <c r="B42" s="22">
        <v>0</v>
      </c>
      <c r="C42" s="11">
        <f t="shared" si="6"/>
        <v>722.5</v>
      </c>
      <c r="D42" s="3">
        <f t="shared" si="0"/>
        <v>722.5</v>
      </c>
      <c r="E42" s="49">
        <f t="shared" si="1"/>
        <v>10000</v>
      </c>
      <c r="F42" s="24" t="str">
        <f t="shared" si="2"/>
        <v>R</v>
      </c>
      <c r="G42" s="13">
        <f t="shared" si="3"/>
        <v>0</v>
      </c>
      <c r="H42" s="14">
        <f t="shared" si="4"/>
        <v>722.5</v>
      </c>
      <c r="I42" s="11"/>
      <c r="J42" s="157">
        <f t="shared" si="7"/>
        <v>0.1067513290196794</v>
      </c>
      <c r="K42" s="157">
        <f t="shared" si="8"/>
        <v>0.13596199824081392</v>
      </c>
    </row>
    <row r="43" spans="1:11" ht="12.75">
      <c r="A43" s="19">
        <v>30</v>
      </c>
      <c r="B43" s="22">
        <v>0</v>
      </c>
      <c r="C43" s="11">
        <f t="shared" si="6"/>
        <v>1213.8</v>
      </c>
      <c r="D43" s="3">
        <f t="shared" si="0"/>
        <v>1213.8</v>
      </c>
      <c r="E43" s="49">
        <f t="shared" si="1"/>
        <v>10000</v>
      </c>
      <c r="F43" s="24" t="str">
        <f t="shared" si="2"/>
        <v>R</v>
      </c>
      <c r="G43" s="13">
        <f t="shared" si="3"/>
        <v>0</v>
      </c>
      <c r="H43" s="14">
        <f t="shared" si="4"/>
        <v>1213.8</v>
      </c>
      <c r="I43" s="11"/>
      <c r="J43" s="157">
        <f t="shared" si="7"/>
        <v>0.1067513290196794</v>
      </c>
      <c r="K43" s="157">
        <f t="shared" si="8"/>
        <v>0.13596199824081392</v>
      </c>
    </row>
    <row r="44" spans="1:11" ht="12.75">
      <c r="A44" s="19">
        <v>13</v>
      </c>
      <c r="B44" s="22">
        <v>0</v>
      </c>
      <c r="C44" s="11">
        <f t="shared" si="6"/>
        <v>1488.35</v>
      </c>
      <c r="D44" s="3">
        <f t="shared" si="0"/>
        <v>1488.35</v>
      </c>
      <c r="E44" s="49">
        <f t="shared" si="1"/>
        <v>10000</v>
      </c>
      <c r="F44" s="24" t="str">
        <f t="shared" si="2"/>
        <v>R</v>
      </c>
      <c r="G44" s="13">
        <f t="shared" si="3"/>
        <v>0</v>
      </c>
      <c r="H44" s="14">
        <f t="shared" si="4"/>
        <v>1488.35</v>
      </c>
      <c r="I44" s="11"/>
      <c r="J44" s="157">
        <f t="shared" si="7"/>
        <v>0.1067513290196794</v>
      </c>
      <c r="K44" s="157">
        <f t="shared" si="8"/>
        <v>0.13596199824081392</v>
      </c>
    </row>
    <row r="45" spans="1:11" ht="12.75">
      <c r="A45" s="19">
        <v>96</v>
      </c>
      <c r="B45" s="22">
        <v>0</v>
      </c>
      <c r="C45" s="11">
        <f t="shared" si="6"/>
        <v>465.8</v>
      </c>
      <c r="D45" s="3">
        <f t="shared" si="0"/>
        <v>465.8</v>
      </c>
      <c r="E45" s="49">
        <f t="shared" si="1"/>
        <v>10000</v>
      </c>
      <c r="F45" s="24" t="str">
        <f t="shared" si="2"/>
        <v>R</v>
      </c>
      <c r="G45" s="13">
        <f t="shared" si="3"/>
        <v>0</v>
      </c>
      <c r="H45" s="14">
        <f t="shared" si="4"/>
        <v>465.8</v>
      </c>
      <c r="I45" s="11"/>
      <c r="J45" s="157">
        <f t="shared" si="7"/>
        <v>0.1067513290196794</v>
      </c>
      <c r="K45" s="157">
        <f t="shared" si="8"/>
        <v>0.13596199824081392</v>
      </c>
    </row>
    <row r="46" spans="1:11" ht="12.75">
      <c r="A46" s="19">
        <v>37</v>
      </c>
      <c r="B46" s="22">
        <v>0</v>
      </c>
      <c r="C46" s="11">
        <f t="shared" si="6"/>
        <v>1629.45</v>
      </c>
      <c r="D46" s="3">
        <f t="shared" si="0"/>
        <v>1629.45</v>
      </c>
      <c r="E46" s="49">
        <f t="shared" si="1"/>
        <v>10000</v>
      </c>
      <c r="F46" s="24" t="str">
        <f t="shared" si="2"/>
        <v>R</v>
      </c>
      <c r="G46" s="13">
        <f t="shared" si="3"/>
        <v>0</v>
      </c>
      <c r="H46" s="14">
        <f t="shared" si="4"/>
        <v>1629.45</v>
      </c>
      <c r="I46" s="11"/>
      <c r="J46" s="157">
        <f t="shared" si="7"/>
        <v>0.1067513290196794</v>
      </c>
      <c r="K46" s="157">
        <f t="shared" si="8"/>
        <v>0.13596199824081392</v>
      </c>
    </row>
    <row r="47" spans="1:11" ht="12.75">
      <c r="A47" s="19">
        <v>70</v>
      </c>
      <c r="B47" s="22">
        <v>0</v>
      </c>
      <c r="C47" s="11">
        <f t="shared" si="6"/>
        <v>1179.8</v>
      </c>
      <c r="D47" s="3">
        <f t="shared" si="0"/>
        <v>1179.8</v>
      </c>
      <c r="E47" s="49">
        <f t="shared" si="1"/>
        <v>10000</v>
      </c>
      <c r="F47" s="24" t="str">
        <f t="shared" si="2"/>
        <v>R</v>
      </c>
      <c r="G47" s="13">
        <f t="shared" si="3"/>
        <v>0</v>
      </c>
      <c r="H47" s="14">
        <f t="shared" si="4"/>
        <v>1179.8</v>
      </c>
      <c r="I47" s="11"/>
      <c r="J47" s="157">
        <f t="shared" si="7"/>
        <v>0.1067513290196794</v>
      </c>
      <c r="K47" s="157">
        <f t="shared" si="8"/>
        <v>0.13596199824081392</v>
      </c>
    </row>
    <row r="48" spans="1:11" ht="12.75">
      <c r="A48" s="19">
        <v>73</v>
      </c>
      <c r="B48" s="22">
        <v>0</v>
      </c>
      <c r="C48" s="11">
        <f t="shared" si="6"/>
        <v>413.09999999999997</v>
      </c>
      <c r="D48" s="3">
        <f t="shared" si="0"/>
        <v>413.09999999999997</v>
      </c>
      <c r="E48" s="49">
        <f t="shared" si="1"/>
        <v>10000</v>
      </c>
      <c r="F48" s="24" t="str">
        <f t="shared" si="2"/>
        <v>R</v>
      </c>
      <c r="G48" s="13">
        <f t="shared" si="3"/>
        <v>0</v>
      </c>
      <c r="H48" s="14">
        <f t="shared" si="4"/>
        <v>413.09999999999997</v>
      </c>
      <c r="I48" s="11"/>
      <c r="J48" s="157">
        <f t="shared" si="7"/>
        <v>0.1067513290196794</v>
      </c>
      <c r="K48" s="157">
        <f t="shared" si="8"/>
        <v>0.13596199824081392</v>
      </c>
    </row>
    <row r="49" spans="1:11" ht="12.75">
      <c r="A49" s="19">
        <v>81</v>
      </c>
      <c r="B49" s="22">
        <v>0</v>
      </c>
      <c r="C49" s="11">
        <f t="shared" si="6"/>
        <v>1634.55</v>
      </c>
      <c r="D49" s="3">
        <f t="shared" si="0"/>
        <v>1634.55</v>
      </c>
      <c r="E49" s="49">
        <f t="shared" si="1"/>
        <v>10000</v>
      </c>
      <c r="F49" s="24" t="str">
        <f t="shared" si="2"/>
        <v>R</v>
      </c>
      <c r="G49" s="13">
        <f t="shared" si="3"/>
        <v>0</v>
      </c>
      <c r="H49" s="14">
        <f t="shared" si="4"/>
        <v>1634.55</v>
      </c>
      <c r="I49" s="11"/>
      <c r="J49" s="157">
        <f t="shared" si="7"/>
        <v>0.1067513290196794</v>
      </c>
      <c r="K49" s="157">
        <f t="shared" si="8"/>
        <v>0.13596199824081392</v>
      </c>
    </row>
    <row r="50" spans="1:11" ht="12.75">
      <c r="A50" s="19">
        <v>98</v>
      </c>
      <c r="B50" s="22">
        <v>0</v>
      </c>
      <c r="C50" s="11">
        <f t="shared" si="6"/>
        <v>320.45</v>
      </c>
      <c r="D50" s="3">
        <f t="shared" si="0"/>
        <v>320.45</v>
      </c>
      <c r="E50" s="49">
        <f t="shared" si="1"/>
        <v>10000</v>
      </c>
      <c r="F50" s="24" t="str">
        <f t="shared" si="2"/>
        <v>R</v>
      </c>
      <c r="G50" s="13">
        <f t="shared" si="3"/>
        <v>0</v>
      </c>
      <c r="H50" s="14">
        <f t="shared" si="4"/>
        <v>320.45</v>
      </c>
      <c r="I50" s="11"/>
      <c r="J50" s="157">
        <f t="shared" si="7"/>
        <v>0.1067513290196794</v>
      </c>
      <c r="K50" s="157">
        <f t="shared" si="8"/>
        <v>0.13596199824081392</v>
      </c>
    </row>
    <row r="51" spans="1:11" s="69" customFormat="1" ht="12.75">
      <c r="A51" s="19">
        <v>1</v>
      </c>
      <c r="B51" s="22">
        <f t="shared" si="5"/>
        <v>2.25</v>
      </c>
      <c r="C51" s="11">
        <f t="shared" si="6"/>
        <v>1087.1499999999999</v>
      </c>
      <c r="D51" s="3">
        <f t="shared" si="0"/>
        <v>1087.4313598582949</v>
      </c>
      <c r="E51" s="70">
        <f t="shared" si="1"/>
        <v>483.3028266036866</v>
      </c>
      <c r="F51" s="26" t="str">
        <f t="shared" si="2"/>
        <v>RuN</v>
      </c>
      <c r="G51" s="13">
        <f t="shared" si="3"/>
        <v>0.273052493168055</v>
      </c>
      <c r="H51" s="14">
        <f t="shared" si="4"/>
        <v>1087.1583073651268</v>
      </c>
      <c r="I51" s="11"/>
      <c r="J51" s="157">
        <f t="shared" si="7"/>
        <v>0.1067513290196794</v>
      </c>
      <c r="K51" s="157">
        <f t="shared" si="8"/>
        <v>0.13596199824081392</v>
      </c>
    </row>
    <row r="52" spans="1:11" ht="12.75">
      <c r="A52" s="19">
        <v>2</v>
      </c>
      <c r="B52" s="22">
        <f t="shared" si="5"/>
        <v>3.6</v>
      </c>
      <c r="C52" s="11">
        <f t="shared" si="6"/>
        <v>291.55</v>
      </c>
      <c r="D52" s="3">
        <f t="shared" si="0"/>
        <v>292.00164082441944</v>
      </c>
      <c r="E52" s="70">
        <f t="shared" si="1"/>
        <v>81.11156689567207</v>
      </c>
      <c r="F52" s="26" t="str">
        <f t="shared" si="2"/>
        <v>RuN</v>
      </c>
      <c r="G52" s="13">
        <f t="shared" si="3"/>
        <v>0.436883989068888</v>
      </c>
      <c r="H52" s="14">
        <f t="shared" si="4"/>
        <v>291.5647568353506</v>
      </c>
      <c r="I52" s="11"/>
      <c r="J52" s="157">
        <f t="shared" si="7"/>
        <v>0.1067513290196794</v>
      </c>
      <c r="K52" s="157">
        <f t="shared" si="8"/>
        <v>0.13596199824081392</v>
      </c>
    </row>
    <row r="53" spans="1:11" ht="12.75">
      <c r="A53" s="19">
        <v>8</v>
      </c>
      <c r="B53" s="22">
        <f t="shared" si="5"/>
        <v>3.6</v>
      </c>
      <c r="C53" s="11">
        <f t="shared" si="6"/>
        <v>493</v>
      </c>
      <c r="D53" s="3">
        <f t="shared" si="0"/>
        <v>493.45337013812707</v>
      </c>
      <c r="E53" s="70">
        <f t="shared" si="1"/>
        <v>137.07038059392417</v>
      </c>
      <c r="F53" s="26" t="str">
        <f t="shared" si="2"/>
        <v>RuN</v>
      </c>
      <c r="G53" s="13">
        <f t="shared" si="3"/>
        <v>0.436883989068888</v>
      </c>
      <c r="H53" s="14">
        <f t="shared" si="4"/>
        <v>493.0164861490582</v>
      </c>
      <c r="I53" s="11"/>
      <c r="J53" s="157">
        <f t="shared" si="7"/>
        <v>0.1067513290196794</v>
      </c>
      <c r="K53" s="157">
        <f t="shared" si="8"/>
        <v>0.13596199824081392</v>
      </c>
    </row>
    <row r="54" spans="1:11" ht="12.75">
      <c r="A54" s="19">
        <v>5</v>
      </c>
      <c r="B54" s="22">
        <f t="shared" si="5"/>
        <v>6.75</v>
      </c>
      <c r="C54" s="11">
        <f t="shared" si="6"/>
        <v>1312.3999999999999</v>
      </c>
      <c r="D54" s="3">
        <f t="shared" si="0"/>
        <v>1313.171163566876</v>
      </c>
      <c r="E54" s="70">
        <f t="shared" si="1"/>
        <v>194.54387608398162</v>
      </c>
      <c r="F54" s="26" t="str">
        <f t="shared" si="2"/>
        <v>RuN</v>
      </c>
      <c r="G54" s="13">
        <f t="shared" si="3"/>
        <v>0.819157479504165</v>
      </c>
      <c r="H54" s="14">
        <f t="shared" si="4"/>
        <v>1312.3520060873718</v>
      </c>
      <c r="I54" s="11"/>
      <c r="J54" s="157">
        <f t="shared" si="7"/>
        <v>0.1067513290196794</v>
      </c>
      <c r="K54" s="157">
        <f t="shared" si="8"/>
        <v>0.13596199824081392</v>
      </c>
    </row>
    <row r="55" spans="1:11" ht="12.75">
      <c r="A55" s="19">
        <v>4</v>
      </c>
      <c r="B55" s="22">
        <f t="shared" si="5"/>
        <v>12.6</v>
      </c>
      <c r="C55" s="11">
        <f t="shared" si="6"/>
        <v>499.8</v>
      </c>
      <c r="D55" s="3">
        <f t="shared" si="0"/>
        <v>501.25478573135473</v>
      </c>
      <c r="E55" s="70">
        <f t="shared" si="1"/>
        <v>39.78212585169482</v>
      </c>
      <c r="F55" s="26" t="str">
        <f t="shared" si="2"/>
        <v>RuN</v>
      </c>
      <c r="G55" s="13">
        <f t="shared" si="3"/>
        <v>1.529093961741108</v>
      </c>
      <c r="H55" s="14">
        <f t="shared" si="4"/>
        <v>499.7256917696136</v>
      </c>
      <c r="I55" s="11"/>
      <c r="J55" s="157">
        <f t="shared" si="7"/>
        <v>0.1067513290196794</v>
      </c>
      <c r="K55" s="157">
        <f t="shared" si="8"/>
        <v>0.13596199824081392</v>
      </c>
    </row>
    <row r="56" spans="1:11" ht="12.75">
      <c r="A56" s="19">
        <v>3</v>
      </c>
      <c r="B56" s="22">
        <f t="shared" si="5"/>
        <v>13.5</v>
      </c>
      <c r="C56" s="11">
        <f t="shared" si="6"/>
        <v>9.35</v>
      </c>
      <c r="D56" s="3">
        <f t="shared" si="0"/>
        <v>10.981430720652849</v>
      </c>
      <c r="E56" s="70">
        <f t="shared" si="1"/>
        <v>0.8134393126409518</v>
      </c>
      <c r="F56" s="26" t="str">
        <f t="shared" si="2"/>
        <v>RuN</v>
      </c>
      <c r="G56" s="13">
        <f t="shared" si="3"/>
        <v>1.63831495900833</v>
      </c>
      <c r="H56" s="14">
        <f t="shared" si="4"/>
        <v>9.343115761644519</v>
      </c>
      <c r="I56" s="11"/>
      <c r="J56" s="157">
        <f t="shared" si="7"/>
        <v>0.1067513290196794</v>
      </c>
      <c r="K56" s="157">
        <f t="shared" si="8"/>
        <v>0.13596199824081392</v>
      </c>
    </row>
    <row r="57" spans="1:11" ht="12.75">
      <c r="A57" s="20">
        <v>36</v>
      </c>
      <c r="B57" s="22">
        <f t="shared" si="5"/>
        <v>16.2</v>
      </c>
      <c r="C57" s="11">
        <v>0</v>
      </c>
      <c r="D57" s="4">
        <f t="shared" si="0"/>
        <v>1.847599095445329</v>
      </c>
      <c r="E57" s="71">
        <f t="shared" si="1"/>
        <v>0.1140493268793413</v>
      </c>
      <c r="F57" s="27" t="str">
        <f t="shared" si="2"/>
        <v>N</v>
      </c>
      <c r="G57" s="47">
        <f>D57</f>
        <v>1.847599095445329</v>
      </c>
      <c r="H57" s="48">
        <f t="shared" si="4"/>
        <v>0</v>
      </c>
      <c r="I57" s="21" t="s">
        <v>73</v>
      </c>
      <c r="J57" s="157">
        <f t="shared" si="7"/>
        <v>0.1067513290196794</v>
      </c>
      <c r="K57" s="157">
        <f t="shared" si="8"/>
        <v>0.13596199824081392</v>
      </c>
    </row>
    <row r="58" spans="1:11" ht="12.75">
      <c r="A58" s="19">
        <v>17</v>
      </c>
      <c r="B58" s="22">
        <f t="shared" si="5"/>
        <v>22.950000000000003</v>
      </c>
      <c r="C58" s="11">
        <f t="shared" si="6"/>
        <v>857.65</v>
      </c>
      <c r="D58" s="3">
        <f t="shared" si="0"/>
        <v>860.2716155653682</v>
      </c>
      <c r="E58" s="70">
        <f t="shared" si="1"/>
        <v>37.48460198541909</v>
      </c>
      <c r="F58" s="26" t="str">
        <f t="shared" si="2"/>
        <v>RuN</v>
      </c>
      <c r="G58" s="13">
        <f aca="true" t="shared" si="9" ref="G58:G65">B58*C$10</f>
        <v>2.785135430314161</v>
      </c>
      <c r="H58" s="14">
        <f t="shared" si="4"/>
        <v>857.486480135054</v>
      </c>
      <c r="I58" s="11"/>
      <c r="J58" s="157">
        <f t="shared" si="7"/>
        <v>0.1067513290196794</v>
      </c>
      <c r="K58" s="157">
        <f t="shared" si="8"/>
        <v>0.13596199824081392</v>
      </c>
    </row>
    <row r="59" spans="1:11" ht="12.75">
      <c r="A59" s="19">
        <v>7</v>
      </c>
      <c r="B59" s="22">
        <f t="shared" si="5"/>
        <v>25.2</v>
      </c>
      <c r="C59" s="11">
        <f t="shared" si="6"/>
        <v>1306.45</v>
      </c>
      <c r="D59" s="3">
        <f t="shared" si="0"/>
        <v>1309.5733363737263</v>
      </c>
      <c r="E59" s="70">
        <f t="shared" si="1"/>
        <v>51.96719588784628</v>
      </c>
      <c r="F59" s="26" t="str">
        <f t="shared" si="2"/>
        <v>RuN</v>
      </c>
      <c r="G59" s="13">
        <f t="shared" si="9"/>
        <v>3.058187923482216</v>
      </c>
      <c r="H59" s="14">
        <f t="shared" si="4"/>
        <v>1306.5151484502442</v>
      </c>
      <c r="I59" s="11"/>
      <c r="J59" s="157">
        <f t="shared" si="7"/>
        <v>0.1067513290196794</v>
      </c>
      <c r="K59" s="157">
        <f t="shared" si="8"/>
        <v>0.13596199824081392</v>
      </c>
    </row>
    <row r="60" spans="1:11" ht="12.75">
      <c r="A60" s="19">
        <v>58</v>
      </c>
      <c r="B60" s="22">
        <f t="shared" si="5"/>
        <v>26.1</v>
      </c>
      <c r="C60" s="11">
        <f t="shared" si="6"/>
        <v>708.05</v>
      </c>
      <c r="D60" s="3">
        <f t="shared" si="0"/>
        <v>711.33748385669</v>
      </c>
      <c r="E60" s="70">
        <f t="shared" si="1"/>
        <v>27.254309726309963</v>
      </c>
      <c r="F60" s="26" t="str">
        <f t="shared" si="2"/>
        <v>RuN</v>
      </c>
      <c r="G60" s="13">
        <f t="shared" si="9"/>
        <v>3.167408920749438</v>
      </c>
      <c r="H60" s="14">
        <f t="shared" si="4"/>
        <v>708.1700749359405</v>
      </c>
      <c r="I60" s="11"/>
      <c r="J60" s="157">
        <f t="shared" si="7"/>
        <v>0.1067513290196794</v>
      </c>
      <c r="K60" s="157">
        <f t="shared" si="8"/>
        <v>0.13596199824081392</v>
      </c>
    </row>
    <row r="61" spans="1:11" ht="12.75">
      <c r="A61" s="19">
        <v>6</v>
      </c>
      <c r="B61" s="22">
        <f t="shared" si="5"/>
        <v>27</v>
      </c>
      <c r="C61" s="11">
        <f t="shared" si="6"/>
        <v>1700</v>
      </c>
      <c r="D61" s="3">
        <f t="shared" si="0"/>
        <v>1703.1947346892919</v>
      </c>
      <c r="E61" s="70">
        <f t="shared" si="1"/>
        <v>63.081286469973776</v>
      </c>
      <c r="F61" s="26" t="str">
        <f t="shared" si="2"/>
        <v>RuN</v>
      </c>
      <c r="G61" s="13">
        <f t="shared" si="9"/>
        <v>3.27662991801666</v>
      </c>
      <c r="H61" s="14">
        <f t="shared" si="4"/>
        <v>1699.9181047712752</v>
      </c>
      <c r="I61" s="11"/>
      <c r="J61" s="157">
        <f t="shared" si="7"/>
        <v>0.1067513290196794</v>
      </c>
      <c r="K61" s="157">
        <f t="shared" si="8"/>
        <v>0.13596199824081392</v>
      </c>
    </row>
    <row r="62" spans="1:11" ht="12.75">
      <c r="A62" s="19">
        <v>10</v>
      </c>
      <c r="B62" s="22">
        <f t="shared" si="5"/>
        <v>36</v>
      </c>
      <c r="C62" s="11">
        <f t="shared" si="6"/>
        <v>297.5</v>
      </c>
      <c r="D62" s="3">
        <f t="shared" si="0"/>
        <v>301.7024914400479</v>
      </c>
      <c r="E62" s="70">
        <f t="shared" si="1"/>
        <v>8.380624762223553</v>
      </c>
      <c r="F62" s="26" t="str">
        <f t="shared" si="2"/>
        <v>RuN</v>
      </c>
      <c r="G62" s="13">
        <f t="shared" si="9"/>
        <v>4.36883989068888</v>
      </c>
      <c r="H62" s="14">
        <f t="shared" si="4"/>
        <v>297.333651549359</v>
      </c>
      <c r="I62" s="11"/>
      <c r="J62" s="157">
        <f t="shared" si="7"/>
        <v>0.1067513290196794</v>
      </c>
      <c r="K62" s="157">
        <f t="shared" si="8"/>
        <v>0.13596199824081392</v>
      </c>
    </row>
    <row r="63" spans="1:11" ht="12.75">
      <c r="A63" s="19">
        <v>20</v>
      </c>
      <c r="B63" s="22">
        <f t="shared" si="5"/>
        <v>36</v>
      </c>
      <c r="C63" s="11">
        <f t="shared" si="6"/>
        <v>962.1999999999999</v>
      </c>
      <c r="D63" s="3">
        <f t="shared" si="0"/>
        <v>966.7171961741572</v>
      </c>
      <c r="E63" s="70">
        <f t="shared" si="1"/>
        <v>26.853255449282145</v>
      </c>
      <c r="F63" s="26" t="str">
        <f t="shared" si="2"/>
        <v>RuN</v>
      </c>
      <c r="G63" s="13">
        <f t="shared" si="9"/>
        <v>4.36883989068888</v>
      </c>
      <c r="H63" s="14">
        <f t="shared" si="4"/>
        <v>962.3483562834683</v>
      </c>
      <c r="I63" s="11"/>
      <c r="J63" s="157">
        <f t="shared" si="7"/>
        <v>0.1067513290196794</v>
      </c>
      <c r="K63" s="157">
        <f t="shared" si="8"/>
        <v>0.13596199824081392</v>
      </c>
    </row>
    <row r="64" spans="1:11" ht="12.75">
      <c r="A64" s="19">
        <v>80</v>
      </c>
      <c r="B64" s="22">
        <f t="shared" si="5"/>
        <v>36</v>
      </c>
      <c r="C64" s="11">
        <f t="shared" si="6"/>
        <v>999.6</v>
      </c>
      <c r="D64" s="3">
        <f t="shared" si="0"/>
        <v>1003.7053200507526</v>
      </c>
      <c r="E64" s="70">
        <f t="shared" si="1"/>
        <v>27.880703334743128</v>
      </c>
      <c r="F64" s="26" t="str">
        <f t="shared" si="2"/>
        <v>RuN</v>
      </c>
      <c r="G64" s="13">
        <f t="shared" si="9"/>
        <v>4.36883989068888</v>
      </c>
      <c r="H64" s="14">
        <f t="shared" si="4"/>
        <v>999.3364801600637</v>
      </c>
      <c r="I64" s="11"/>
      <c r="J64" s="157">
        <f t="shared" si="7"/>
        <v>0.1067513290196794</v>
      </c>
      <c r="K64" s="157">
        <f t="shared" si="8"/>
        <v>0.13596199824081392</v>
      </c>
    </row>
    <row r="65" spans="1:11" ht="12.75">
      <c r="A65" s="19">
        <v>9</v>
      </c>
      <c r="B65" s="22">
        <f t="shared" si="5"/>
        <v>36.449999999999996</v>
      </c>
      <c r="C65" s="11">
        <f t="shared" si="6"/>
        <v>7.6499999999999995</v>
      </c>
      <c r="D65" s="3">
        <f t="shared" si="0"/>
        <v>12.11413031272237</v>
      </c>
      <c r="E65" s="70">
        <f t="shared" si="1"/>
        <v>0.33234925412132704</v>
      </c>
      <c r="F65" s="26" t="str">
        <f t="shared" si="2"/>
        <v>RuN</v>
      </c>
      <c r="G65" s="13">
        <f t="shared" si="9"/>
        <v>4.423450389322491</v>
      </c>
      <c r="H65" s="14">
        <f t="shared" si="4"/>
        <v>7.6906799233998795</v>
      </c>
      <c r="I65" s="11"/>
      <c r="J65" s="157">
        <f t="shared" si="7"/>
        <v>0.1067513290196794</v>
      </c>
      <c r="K65" s="157">
        <f t="shared" si="8"/>
        <v>0.13596199824081392</v>
      </c>
    </row>
    <row r="66" spans="1:11" ht="12.75">
      <c r="A66" s="38">
        <v>27</v>
      </c>
      <c r="B66" s="22">
        <f t="shared" si="5"/>
        <v>36.45</v>
      </c>
      <c r="C66" s="11">
        <v>0</v>
      </c>
      <c r="D66" s="5">
        <f t="shared" si="0"/>
        <v>4.583159415542066</v>
      </c>
      <c r="E66" s="72">
        <f t="shared" si="1"/>
        <v>0.12573825557042703</v>
      </c>
      <c r="F66" s="27" t="str">
        <f t="shared" si="2"/>
        <v>N</v>
      </c>
      <c r="G66" s="15">
        <f>D66</f>
        <v>4.583159415542066</v>
      </c>
      <c r="H66" s="16">
        <f t="shared" si="4"/>
        <v>0</v>
      </c>
      <c r="I66" s="12" t="s">
        <v>79</v>
      </c>
      <c r="J66" s="157">
        <f t="shared" si="7"/>
        <v>0.1067513290196794</v>
      </c>
      <c r="K66" s="157">
        <f t="shared" si="8"/>
        <v>0.13596199824081392</v>
      </c>
    </row>
    <row r="67" spans="1:11" ht="12.75">
      <c r="A67" s="19">
        <v>12</v>
      </c>
      <c r="B67" s="22">
        <f t="shared" si="5"/>
        <v>43.2</v>
      </c>
      <c r="C67" s="11">
        <f t="shared" si="6"/>
        <v>1666.85</v>
      </c>
      <c r="D67" s="3">
        <f t="shared" si="0"/>
        <v>1671.8949202996541</v>
      </c>
      <c r="E67" s="70">
        <f t="shared" si="1"/>
        <v>38.70127130323273</v>
      </c>
      <c r="F67" s="26" t="str">
        <f t="shared" si="2"/>
        <v>RuN</v>
      </c>
      <c r="G67" s="13">
        <f aca="true" t="shared" si="10" ref="G67:G77">B67*C$10</f>
        <v>5.242607868826656</v>
      </c>
      <c r="H67" s="14">
        <f t="shared" si="4"/>
        <v>1666.6523124308276</v>
      </c>
      <c r="I67" s="11"/>
      <c r="J67" s="157">
        <f t="shared" si="7"/>
        <v>0.1067513290196794</v>
      </c>
      <c r="K67" s="157">
        <f t="shared" si="8"/>
        <v>0.13596199824081392</v>
      </c>
    </row>
    <row r="68" spans="1:11" ht="12.75">
      <c r="A68" s="19">
        <v>24</v>
      </c>
      <c r="B68" s="22">
        <f t="shared" si="5"/>
        <v>43.2</v>
      </c>
      <c r="C68" s="11">
        <f t="shared" si="6"/>
        <v>1414.3999999999999</v>
      </c>
      <c r="D68" s="3">
        <f t="shared" si="0"/>
        <v>1419.3492740885677</v>
      </c>
      <c r="E68" s="70">
        <f t="shared" si="1"/>
        <v>32.855307270568694</v>
      </c>
      <c r="F68" s="26" t="str">
        <f t="shared" si="2"/>
        <v>RuN</v>
      </c>
      <c r="G68" s="13">
        <f t="shared" si="10"/>
        <v>5.242607868826656</v>
      </c>
      <c r="H68" s="14">
        <f t="shared" si="4"/>
        <v>1414.106666219741</v>
      </c>
      <c r="I68" s="11"/>
      <c r="J68" s="157">
        <f t="shared" si="7"/>
        <v>0.1067513290196794</v>
      </c>
      <c r="K68" s="157">
        <f t="shared" si="8"/>
        <v>0.13596199824081392</v>
      </c>
    </row>
    <row r="69" spans="1:11" ht="12.75">
      <c r="A69" s="19">
        <v>52</v>
      </c>
      <c r="B69" s="22">
        <f t="shared" si="5"/>
        <v>46.800000000000004</v>
      </c>
      <c r="C69" s="11">
        <f t="shared" si="6"/>
        <v>479.4</v>
      </c>
      <c r="D69" s="3">
        <f aca="true" t="shared" si="11" ref="D69:D100">C69+B69*(C$6*(1+C$3*SIN(A69)))</f>
        <v>485.2930450278449</v>
      </c>
      <c r="E69" s="70">
        <f aca="true" t="shared" si="12" ref="E69:E100">IF(B69&gt;0,D69/B69,10000)</f>
        <v>10.369509509141984</v>
      </c>
      <c r="F69" s="26" t="str">
        <f aca="true" t="shared" si="13" ref="F69:F100">IF(E69=10000,G$1,IF(D69=G69,H$1,I$1))</f>
        <v>RuN</v>
      </c>
      <c r="G69" s="13">
        <f t="shared" si="10"/>
        <v>5.6794918578955444</v>
      </c>
      <c r="H69" s="14">
        <f aca="true" t="shared" si="14" ref="H69:H100">D69-G69</f>
        <v>479.6135531699494</v>
      </c>
      <c r="I69" s="11"/>
      <c r="J69" s="157">
        <f t="shared" si="7"/>
        <v>0.1067513290196794</v>
      </c>
      <c r="K69" s="157">
        <f t="shared" si="8"/>
        <v>0.13596199824081392</v>
      </c>
    </row>
    <row r="70" spans="1:11" ht="12.75">
      <c r="A70" s="19">
        <v>21</v>
      </c>
      <c r="B70" s="22">
        <f t="shared" si="5"/>
        <v>47.25000000000001</v>
      </c>
      <c r="C70" s="11">
        <f t="shared" si="6"/>
        <v>201.45</v>
      </c>
      <c r="D70" s="3">
        <f t="shared" si="11"/>
        <v>207.35719187352495</v>
      </c>
      <c r="E70" s="70">
        <f t="shared" si="12"/>
        <v>4.3885119973232785</v>
      </c>
      <c r="F70" s="26" t="str">
        <f t="shared" si="13"/>
        <v>RuN</v>
      </c>
      <c r="G70" s="13">
        <f t="shared" si="10"/>
        <v>5.734102356529156</v>
      </c>
      <c r="H70" s="14">
        <f t="shared" si="14"/>
        <v>201.6230895169958</v>
      </c>
      <c r="I70" s="11"/>
      <c r="J70" s="157">
        <f t="shared" si="7"/>
        <v>0.1067513290196794</v>
      </c>
      <c r="K70" s="157">
        <f t="shared" si="8"/>
        <v>0.13596199824081392</v>
      </c>
    </row>
    <row r="71" spans="1:11" ht="12.75">
      <c r="A71" s="19">
        <v>23</v>
      </c>
      <c r="B71" s="22">
        <f t="shared" si="5"/>
        <v>51.75</v>
      </c>
      <c r="C71" s="11">
        <f t="shared" si="6"/>
        <v>619.65</v>
      </c>
      <c r="D71" s="3">
        <f t="shared" si="11"/>
        <v>625.5972485645036</v>
      </c>
      <c r="E71" s="70">
        <f t="shared" si="12"/>
        <v>12.08883572105321</v>
      </c>
      <c r="F71" s="26" t="str">
        <f t="shared" si="13"/>
        <v>RuN</v>
      </c>
      <c r="G71" s="13">
        <f t="shared" si="10"/>
        <v>6.280207342865265</v>
      </c>
      <c r="H71" s="14">
        <f t="shared" si="14"/>
        <v>619.3170412216383</v>
      </c>
      <c r="I71" s="11"/>
      <c r="J71" s="157">
        <f t="shared" si="7"/>
        <v>0.1067513290196794</v>
      </c>
      <c r="K71" s="157">
        <f t="shared" si="8"/>
        <v>0.13596199824081392</v>
      </c>
    </row>
    <row r="72" spans="1:11" ht="12.75">
      <c r="A72" s="19">
        <v>39</v>
      </c>
      <c r="B72" s="22">
        <f t="shared" si="5"/>
        <v>52.650000000000006</v>
      </c>
      <c r="C72" s="11">
        <f t="shared" si="6"/>
        <v>834.6999999999999</v>
      </c>
      <c r="D72" s="3">
        <f t="shared" si="11"/>
        <v>841.3224629625271</v>
      </c>
      <c r="E72" s="70">
        <f t="shared" si="12"/>
        <v>15.979533959402222</v>
      </c>
      <c r="F72" s="26" t="str">
        <f t="shared" si="13"/>
        <v>RuN</v>
      </c>
      <c r="G72" s="13">
        <f t="shared" si="10"/>
        <v>6.389428340132487</v>
      </c>
      <c r="H72" s="14">
        <f t="shared" si="14"/>
        <v>834.9330346223946</v>
      </c>
      <c r="I72" s="11"/>
      <c r="J72" s="157">
        <f t="shared" si="7"/>
        <v>0.1067513290196794</v>
      </c>
      <c r="K72" s="157">
        <f t="shared" si="8"/>
        <v>0.13596199824081392</v>
      </c>
    </row>
    <row r="73" spans="1:11" ht="12.75">
      <c r="A73" s="19">
        <v>15</v>
      </c>
      <c r="B73" s="22">
        <f t="shared" si="5"/>
        <v>54</v>
      </c>
      <c r="C73" s="11">
        <f t="shared" si="6"/>
        <v>73.95</v>
      </c>
      <c r="D73" s="3">
        <f t="shared" si="11"/>
        <v>80.64069326021091</v>
      </c>
      <c r="E73" s="70">
        <f t="shared" si="12"/>
        <v>1.4933461714853873</v>
      </c>
      <c r="F73" s="26" t="str">
        <f t="shared" si="13"/>
        <v>RuN</v>
      </c>
      <c r="G73" s="13">
        <f t="shared" si="10"/>
        <v>6.55325983603332</v>
      </c>
      <c r="H73" s="14">
        <f t="shared" si="14"/>
        <v>74.08743342417759</v>
      </c>
      <c r="I73" s="11"/>
      <c r="J73" s="157">
        <f t="shared" si="7"/>
        <v>0.1067513290196794</v>
      </c>
      <c r="K73" s="157">
        <f t="shared" si="8"/>
        <v>0.13596199824081392</v>
      </c>
    </row>
    <row r="74" spans="1:11" ht="12.75">
      <c r="A74" s="19">
        <v>18</v>
      </c>
      <c r="B74" s="22">
        <f t="shared" si="5"/>
        <v>56.699999999999996</v>
      </c>
      <c r="C74" s="11">
        <f t="shared" si="6"/>
        <v>1569.1</v>
      </c>
      <c r="D74" s="3">
        <f t="shared" si="11"/>
        <v>1575.6485141386481</v>
      </c>
      <c r="E74" s="70">
        <f t="shared" si="12"/>
        <v>27.789215416907375</v>
      </c>
      <c r="F74" s="26" t="str">
        <f t="shared" si="13"/>
        <v>RuN</v>
      </c>
      <c r="G74" s="13">
        <f t="shared" si="10"/>
        <v>6.880922827834985</v>
      </c>
      <c r="H74" s="14">
        <f t="shared" si="14"/>
        <v>1568.767591310813</v>
      </c>
      <c r="I74" s="11"/>
      <c r="J74" s="157">
        <f t="shared" si="7"/>
        <v>0.1067513290196794</v>
      </c>
      <c r="K74" s="157">
        <f t="shared" si="8"/>
        <v>0.13596199824081392</v>
      </c>
    </row>
    <row r="75" spans="1:11" s="69" customFormat="1" ht="12.75">
      <c r="A75" s="19">
        <v>49</v>
      </c>
      <c r="B75" s="22">
        <f t="shared" si="5"/>
        <v>66.15</v>
      </c>
      <c r="C75" s="11">
        <f t="shared" si="6"/>
        <v>1325.1499999999999</v>
      </c>
      <c r="D75" s="3">
        <f t="shared" si="11"/>
        <v>1332.7094555721196</v>
      </c>
      <c r="E75" s="70">
        <f t="shared" si="12"/>
        <v>20.146779373728187</v>
      </c>
      <c r="F75" s="26" t="str">
        <f t="shared" si="13"/>
        <v>RuN</v>
      </c>
      <c r="G75" s="13">
        <f t="shared" si="10"/>
        <v>8.027743299140818</v>
      </c>
      <c r="H75" s="14">
        <f t="shared" si="14"/>
        <v>1324.6817122729788</v>
      </c>
      <c r="I75" s="11"/>
      <c r="J75" s="157">
        <f t="shared" si="7"/>
        <v>0.1067513290196794</v>
      </c>
      <c r="K75" s="157">
        <f t="shared" si="8"/>
        <v>0.13596199824081392</v>
      </c>
    </row>
    <row r="76" spans="1:11" ht="12.75">
      <c r="A76" s="19">
        <v>74</v>
      </c>
      <c r="B76" s="22">
        <f t="shared" si="5"/>
        <v>66.60000000000001</v>
      </c>
      <c r="C76" s="11">
        <f t="shared" si="6"/>
        <v>1227.3999999999999</v>
      </c>
      <c r="D76" s="3">
        <f t="shared" si="11"/>
        <v>1234.9983355543168</v>
      </c>
      <c r="E76" s="70">
        <f t="shared" si="12"/>
        <v>18.543518551866615</v>
      </c>
      <c r="F76" s="26" t="str">
        <f t="shared" si="13"/>
        <v>RuN</v>
      </c>
      <c r="G76" s="13">
        <f t="shared" si="10"/>
        <v>8.082353797774429</v>
      </c>
      <c r="H76" s="14">
        <f t="shared" si="14"/>
        <v>1226.9159817565424</v>
      </c>
      <c r="I76" s="11"/>
      <c r="J76" s="157">
        <f t="shared" si="7"/>
        <v>0.1067513290196794</v>
      </c>
      <c r="K76" s="157">
        <f t="shared" si="8"/>
        <v>0.13596199824081392</v>
      </c>
    </row>
    <row r="77" spans="1:11" ht="12.75">
      <c r="A77" s="19">
        <v>26</v>
      </c>
      <c r="B77" s="22">
        <f t="shared" si="5"/>
        <v>70.2</v>
      </c>
      <c r="C77" s="11">
        <f t="shared" si="6"/>
        <v>1193.3999999999999</v>
      </c>
      <c r="D77" s="3">
        <f t="shared" si="11"/>
        <v>1202.1451896193419</v>
      </c>
      <c r="E77" s="70">
        <f t="shared" si="12"/>
        <v>17.124575350702877</v>
      </c>
      <c r="F77" s="26" t="str">
        <f t="shared" si="13"/>
        <v>RuN</v>
      </c>
      <c r="G77" s="13">
        <f t="shared" si="10"/>
        <v>8.519237786843316</v>
      </c>
      <c r="H77" s="14">
        <f t="shared" si="14"/>
        <v>1193.6259518324985</v>
      </c>
      <c r="I77" s="11"/>
      <c r="J77" s="157">
        <f t="shared" si="7"/>
        <v>0.1067513290196794</v>
      </c>
      <c r="K77" s="157">
        <f t="shared" si="8"/>
        <v>0.13596199824081392</v>
      </c>
    </row>
    <row r="78" spans="1:11" ht="12.75">
      <c r="A78" s="38">
        <v>16</v>
      </c>
      <c r="B78" s="22">
        <f t="shared" si="5"/>
        <v>72</v>
      </c>
      <c r="C78" s="11">
        <v>0</v>
      </c>
      <c r="D78" s="5">
        <f t="shared" si="11"/>
        <v>8.51562576720069</v>
      </c>
      <c r="E78" s="72">
        <f t="shared" si="12"/>
        <v>0.11827258010000959</v>
      </c>
      <c r="F78" s="27" t="str">
        <f t="shared" si="13"/>
        <v>N</v>
      </c>
      <c r="G78" s="15">
        <f>D78</f>
        <v>8.51562576720069</v>
      </c>
      <c r="H78" s="16">
        <f t="shared" si="14"/>
        <v>0</v>
      </c>
      <c r="I78" s="12" t="s">
        <v>79</v>
      </c>
      <c r="J78" s="157">
        <f t="shared" si="7"/>
        <v>0.1067513290196794</v>
      </c>
      <c r="K78" s="157">
        <f t="shared" si="8"/>
        <v>0.13596199824081392</v>
      </c>
    </row>
    <row r="79" spans="1:11" ht="12.75">
      <c r="A79" s="19">
        <v>83</v>
      </c>
      <c r="B79" s="22">
        <f t="shared" si="5"/>
        <v>74.7</v>
      </c>
      <c r="C79" s="11">
        <f t="shared" si="6"/>
        <v>820.25</v>
      </c>
      <c r="D79" s="3">
        <f t="shared" si="11"/>
        <v>829.6480209514651</v>
      </c>
      <c r="E79" s="70">
        <f t="shared" si="12"/>
        <v>11.106399209524298</v>
      </c>
      <c r="F79" s="26" t="str">
        <f t="shared" si="13"/>
        <v>RuN</v>
      </c>
      <c r="G79" s="13">
        <f aca="true" t="shared" si="15" ref="G79:G89">B79*C$10</f>
        <v>9.065342773179426</v>
      </c>
      <c r="H79" s="14">
        <f t="shared" si="14"/>
        <v>820.5826781782857</v>
      </c>
      <c r="I79" s="11"/>
      <c r="J79" s="157">
        <f t="shared" si="7"/>
        <v>0.1067513290196794</v>
      </c>
      <c r="K79" s="157">
        <f t="shared" si="8"/>
        <v>0.13596199824081392</v>
      </c>
    </row>
    <row r="80" spans="1:11" ht="12.75">
      <c r="A80" s="19">
        <v>42</v>
      </c>
      <c r="B80" s="22">
        <f t="shared" si="5"/>
        <v>75.60000000000001</v>
      </c>
      <c r="C80" s="11">
        <f t="shared" si="6"/>
        <v>744.6</v>
      </c>
      <c r="D80" s="3">
        <f t="shared" si="11"/>
        <v>753.2562658258655</v>
      </c>
      <c r="E80" s="70">
        <f t="shared" si="12"/>
        <v>9.963707219918854</v>
      </c>
      <c r="F80" s="26" t="str">
        <f t="shared" si="13"/>
        <v>RuN</v>
      </c>
      <c r="G80" s="13">
        <f t="shared" si="15"/>
        <v>9.17456377044665</v>
      </c>
      <c r="H80" s="14">
        <f t="shared" si="14"/>
        <v>744.0817020554189</v>
      </c>
      <c r="I80" s="11"/>
      <c r="J80" s="157">
        <f t="shared" si="7"/>
        <v>0.1067513290196794</v>
      </c>
      <c r="K80" s="157">
        <f t="shared" si="8"/>
        <v>0.13596199824081392</v>
      </c>
    </row>
    <row r="81" spans="1:11" ht="12.75">
      <c r="A81" s="19">
        <v>61</v>
      </c>
      <c r="B81" s="22">
        <f t="shared" si="5"/>
        <v>82.35</v>
      </c>
      <c r="C81" s="11">
        <f t="shared" si="6"/>
        <v>872.9499999999999</v>
      </c>
      <c r="D81" s="3">
        <f t="shared" si="11"/>
        <v>882.3546412098387</v>
      </c>
      <c r="E81" s="70">
        <f t="shared" si="12"/>
        <v>10.714689025013222</v>
      </c>
      <c r="F81" s="26" t="str">
        <f t="shared" si="13"/>
        <v>RuN</v>
      </c>
      <c r="G81" s="13">
        <f t="shared" si="15"/>
        <v>9.993721249950813</v>
      </c>
      <c r="H81" s="14">
        <f t="shared" si="14"/>
        <v>872.360919959888</v>
      </c>
      <c r="I81" s="11"/>
      <c r="J81" s="157">
        <f t="shared" si="7"/>
        <v>0.1067513290196794</v>
      </c>
      <c r="K81" s="157">
        <f t="shared" si="8"/>
        <v>0.13596199824081392</v>
      </c>
    </row>
    <row r="82" spans="1:11" ht="12.75">
      <c r="A82" s="19">
        <v>46</v>
      </c>
      <c r="B82" s="22">
        <f t="shared" si="5"/>
        <v>82.8</v>
      </c>
      <c r="C82" s="11">
        <f t="shared" si="6"/>
        <v>280.5</v>
      </c>
      <c r="D82" s="3">
        <f t="shared" si="11"/>
        <v>290.8840084511119</v>
      </c>
      <c r="E82" s="70">
        <f t="shared" si="12"/>
        <v>3.5130918895061827</v>
      </c>
      <c r="F82" s="26" t="str">
        <f t="shared" si="13"/>
        <v>RuN</v>
      </c>
      <c r="G82" s="13">
        <f t="shared" si="15"/>
        <v>10.048331748584424</v>
      </c>
      <c r="H82" s="14">
        <f t="shared" si="14"/>
        <v>280.8356767025275</v>
      </c>
      <c r="I82" s="11"/>
      <c r="J82" s="157">
        <f t="shared" si="7"/>
        <v>0.1067513290196794</v>
      </c>
      <c r="K82" s="157">
        <f t="shared" si="8"/>
        <v>0.13596199824081392</v>
      </c>
    </row>
    <row r="83" spans="1:11" ht="12.75">
      <c r="A83" s="19">
        <v>19</v>
      </c>
      <c r="B83" s="22">
        <f t="shared" si="5"/>
        <v>85.5</v>
      </c>
      <c r="C83" s="11">
        <f t="shared" si="6"/>
        <v>1620.1</v>
      </c>
      <c r="D83" s="3">
        <f t="shared" si="11"/>
        <v>1630.436887008557</v>
      </c>
      <c r="E83" s="70">
        <f t="shared" si="12"/>
        <v>19.069437274953884</v>
      </c>
      <c r="F83" s="26" t="str">
        <f t="shared" si="13"/>
        <v>RuN</v>
      </c>
      <c r="G83" s="13">
        <f t="shared" si="15"/>
        <v>10.37599474038609</v>
      </c>
      <c r="H83" s="14">
        <f t="shared" si="14"/>
        <v>1620.0608922681708</v>
      </c>
      <c r="I83" s="11"/>
      <c r="J83" s="157">
        <f t="shared" si="7"/>
        <v>0.1067513290196794</v>
      </c>
      <c r="K83" s="157">
        <f t="shared" si="8"/>
        <v>0.13596199824081392</v>
      </c>
    </row>
    <row r="84" spans="1:11" ht="12.75">
      <c r="A84" s="19">
        <v>29</v>
      </c>
      <c r="B84" s="22">
        <f t="shared" si="5"/>
        <v>91.35000000000001</v>
      </c>
      <c r="C84" s="11">
        <f t="shared" si="6"/>
        <v>400.34999999999997</v>
      </c>
      <c r="D84" s="3">
        <f t="shared" si="11"/>
        <v>410.9482622680628</v>
      </c>
      <c r="E84" s="70">
        <f t="shared" si="12"/>
        <v>4.498612613771897</v>
      </c>
      <c r="F84" s="26" t="str">
        <f t="shared" si="13"/>
        <v>RuN</v>
      </c>
      <c r="G84" s="13">
        <f t="shared" si="15"/>
        <v>11.085931222623033</v>
      </c>
      <c r="H84" s="14">
        <f t="shared" si="14"/>
        <v>399.86233104543976</v>
      </c>
      <c r="I84" s="11"/>
      <c r="J84" s="157">
        <f t="shared" si="7"/>
        <v>0.1067513290196794</v>
      </c>
      <c r="K84" s="157">
        <f t="shared" si="8"/>
        <v>0.13596199824081392</v>
      </c>
    </row>
    <row r="85" spans="1:11" ht="12.75">
      <c r="A85" s="19">
        <v>71</v>
      </c>
      <c r="B85" s="22">
        <f t="shared" si="5"/>
        <v>95.85</v>
      </c>
      <c r="C85" s="11">
        <f t="shared" si="6"/>
        <v>368.9</v>
      </c>
      <c r="D85" s="3">
        <f t="shared" si="11"/>
        <v>380.94895153108655</v>
      </c>
      <c r="E85" s="70">
        <f t="shared" si="12"/>
        <v>3.9744282893175438</v>
      </c>
      <c r="F85" s="26" t="str">
        <f t="shared" si="13"/>
        <v>RuN</v>
      </c>
      <c r="G85" s="13">
        <f t="shared" si="15"/>
        <v>11.632036208959143</v>
      </c>
      <c r="H85" s="14">
        <f t="shared" si="14"/>
        <v>369.3169153221274</v>
      </c>
      <c r="I85" s="11"/>
      <c r="J85" s="157">
        <f t="shared" si="7"/>
        <v>0.1067513290196794</v>
      </c>
      <c r="K85" s="157">
        <f t="shared" si="8"/>
        <v>0.13596199824081392</v>
      </c>
    </row>
    <row r="86" spans="1:11" ht="12.75">
      <c r="A86" s="19">
        <v>22</v>
      </c>
      <c r="B86" s="22">
        <f t="shared" si="5"/>
        <v>99</v>
      </c>
      <c r="C86" s="11">
        <f t="shared" si="6"/>
        <v>37.4</v>
      </c>
      <c r="D86" s="3">
        <f t="shared" si="11"/>
        <v>49.2747423222815</v>
      </c>
      <c r="E86" s="70">
        <f t="shared" si="12"/>
        <v>0.49772466992203535</v>
      </c>
      <c r="F86" s="26" t="str">
        <f t="shared" si="13"/>
        <v>RuN</v>
      </c>
      <c r="G86" s="13">
        <f t="shared" si="15"/>
        <v>12.01430969939442</v>
      </c>
      <c r="H86" s="14">
        <f t="shared" si="14"/>
        <v>37.26043262288708</v>
      </c>
      <c r="I86" s="11"/>
      <c r="J86" s="157">
        <f t="shared" si="7"/>
        <v>0.1067513290196794</v>
      </c>
      <c r="K86" s="157">
        <f t="shared" si="8"/>
        <v>0.13596199824081392</v>
      </c>
    </row>
    <row r="87" spans="1:11" ht="12.75">
      <c r="A87" s="19">
        <v>45</v>
      </c>
      <c r="B87" s="22">
        <f t="shared" si="5"/>
        <v>101.25</v>
      </c>
      <c r="C87" s="11">
        <f t="shared" si="6"/>
        <v>1072.7</v>
      </c>
      <c r="D87" s="3">
        <f t="shared" si="11"/>
        <v>1085.3669238911546</v>
      </c>
      <c r="E87" s="70">
        <f t="shared" si="12"/>
        <v>10.719673322381773</v>
      </c>
      <c r="F87" s="26" t="str">
        <f t="shared" si="13"/>
        <v>RuN</v>
      </c>
      <c r="G87" s="13">
        <f t="shared" si="15"/>
        <v>12.287362192562474</v>
      </c>
      <c r="H87" s="14">
        <f t="shared" si="14"/>
        <v>1073.079561698592</v>
      </c>
      <c r="I87" s="11"/>
      <c r="J87" s="157">
        <f t="shared" si="7"/>
        <v>0.1067513290196794</v>
      </c>
      <c r="K87" s="157">
        <f t="shared" si="8"/>
        <v>0.13596199824081392</v>
      </c>
    </row>
    <row r="88" spans="1:11" ht="12.75">
      <c r="A88" s="19">
        <v>25</v>
      </c>
      <c r="B88" s="22">
        <f t="shared" si="5"/>
        <v>112.5</v>
      </c>
      <c r="C88" s="11">
        <f t="shared" si="6"/>
        <v>1689.8</v>
      </c>
      <c r="D88" s="3">
        <f t="shared" si="11"/>
        <v>1703.210662568684</v>
      </c>
      <c r="E88" s="70">
        <f t="shared" si="12"/>
        <v>15.139650333943859</v>
      </c>
      <c r="F88" s="26" t="str">
        <f t="shared" si="13"/>
        <v>RuN</v>
      </c>
      <c r="G88" s="13">
        <f t="shared" si="15"/>
        <v>13.65262465840275</v>
      </c>
      <c r="H88" s="14">
        <f t="shared" si="14"/>
        <v>1689.5580379102812</v>
      </c>
      <c r="I88" s="11"/>
      <c r="J88" s="157">
        <f t="shared" si="7"/>
        <v>0.1067513290196794</v>
      </c>
      <c r="K88" s="157">
        <f t="shared" si="8"/>
        <v>0.13596199824081392</v>
      </c>
    </row>
    <row r="89" spans="1:11" ht="12.75">
      <c r="A89" s="19">
        <v>32</v>
      </c>
      <c r="B89" s="22">
        <f t="shared" si="5"/>
        <v>115.2</v>
      </c>
      <c r="C89" s="11">
        <f t="shared" si="6"/>
        <v>1397.3999999999999</v>
      </c>
      <c r="D89" s="3">
        <f t="shared" si="11"/>
        <v>1411.605146122074</v>
      </c>
      <c r="E89" s="70">
        <f t="shared" si="12"/>
        <v>12.253516893420782</v>
      </c>
      <c r="F89" s="26" t="str">
        <f t="shared" si="13"/>
        <v>RuN</v>
      </c>
      <c r="G89" s="13">
        <f t="shared" si="15"/>
        <v>13.980287650204415</v>
      </c>
      <c r="H89" s="14">
        <f t="shared" si="14"/>
        <v>1397.6248584718696</v>
      </c>
      <c r="I89" s="11"/>
      <c r="J89" s="157">
        <f t="shared" si="7"/>
        <v>0.1067513290196794</v>
      </c>
      <c r="K89" s="157">
        <f t="shared" si="8"/>
        <v>0.13596199824081392</v>
      </c>
    </row>
    <row r="90" spans="1:11" ht="12.75">
      <c r="A90" s="38">
        <v>64</v>
      </c>
      <c r="B90" s="22">
        <f t="shared" si="5"/>
        <v>115.2</v>
      </c>
      <c r="C90" s="11">
        <v>0</v>
      </c>
      <c r="D90" s="5">
        <f t="shared" si="11"/>
        <v>14.459921997601622</v>
      </c>
      <c r="E90" s="72">
        <f t="shared" si="12"/>
        <v>0.12552015622918075</v>
      </c>
      <c r="F90" s="27" t="str">
        <f t="shared" si="13"/>
        <v>N</v>
      </c>
      <c r="G90" s="15">
        <f>D90</f>
        <v>14.459921997601622</v>
      </c>
      <c r="H90" s="16">
        <f t="shared" si="14"/>
        <v>0</v>
      </c>
      <c r="I90" s="12" t="s">
        <v>79</v>
      </c>
      <c r="J90" s="157">
        <f t="shared" si="7"/>
        <v>0.1067513290196794</v>
      </c>
      <c r="K90" s="157">
        <f t="shared" si="8"/>
        <v>0.13596199824081392</v>
      </c>
    </row>
    <row r="91" spans="1:11" ht="12.75">
      <c r="A91" s="19">
        <v>43</v>
      </c>
      <c r="B91" s="22">
        <f t="shared" si="5"/>
        <v>116.10000000000001</v>
      </c>
      <c r="C91" s="11">
        <f t="shared" si="6"/>
        <v>1502.8</v>
      </c>
      <c r="D91" s="3">
        <f t="shared" si="11"/>
        <v>1516.152585714285</v>
      </c>
      <c r="E91" s="70">
        <f t="shared" si="12"/>
        <v>13.059023132767312</v>
      </c>
      <c r="F91" s="26" t="str">
        <f t="shared" si="13"/>
        <v>RuN</v>
      </c>
      <c r="G91" s="13">
        <f>B91*C$10</f>
        <v>14.08950864747164</v>
      </c>
      <c r="H91" s="14">
        <f t="shared" si="14"/>
        <v>1502.0630770668133</v>
      </c>
      <c r="I91" s="11"/>
      <c r="J91" s="157">
        <f t="shared" si="7"/>
        <v>0.1067513290196794</v>
      </c>
      <c r="K91" s="157">
        <f t="shared" si="8"/>
        <v>0.13596199824081392</v>
      </c>
    </row>
    <row r="92" spans="1:11" ht="12.75">
      <c r="A92" s="19">
        <v>34</v>
      </c>
      <c r="B92" s="22">
        <f t="shared" si="5"/>
        <v>122.4</v>
      </c>
      <c r="C92" s="11">
        <f t="shared" si="6"/>
        <v>30.599999999999998</v>
      </c>
      <c r="D92" s="3">
        <f t="shared" si="11"/>
        <v>45.676558324686546</v>
      </c>
      <c r="E92" s="70">
        <f t="shared" si="12"/>
        <v>0.37317449611672016</v>
      </c>
      <c r="F92" s="26" t="str">
        <f t="shared" si="13"/>
        <v>RuN</v>
      </c>
      <c r="G92" s="13">
        <f>B92*C$10</f>
        <v>14.854055628342193</v>
      </c>
      <c r="H92" s="14">
        <f t="shared" si="14"/>
        <v>30.82250269634435</v>
      </c>
      <c r="I92" s="11"/>
      <c r="J92" s="157">
        <f t="shared" si="7"/>
        <v>0.1067513290196794</v>
      </c>
      <c r="K92" s="157">
        <f t="shared" si="8"/>
        <v>0.13596199824081392</v>
      </c>
    </row>
    <row r="93" spans="1:11" ht="12.75">
      <c r="A93" s="19">
        <v>68</v>
      </c>
      <c r="B93" s="22">
        <f t="shared" si="5"/>
        <v>122.4</v>
      </c>
      <c r="C93" s="11">
        <f t="shared" si="6"/>
        <v>1425.45</v>
      </c>
      <c r="D93" s="3">
        <f t="shared" si="11"/>
        <v>1439.4785619113018</v>
      </c>
      <c r="E93" s="70">
        <f t="shared" si="12"/>
        <v>11.760445767249196</v>
      </c>
      <c r="F93" s="26" t="str">
        <f t="shared" si="13"/>
        <v>RuN</v>
      </c>
      <c r="G93" s="13">
        <f>B93*C$10</f>
        <v>14.854055628342193</v>
      </c>
      <c r="H93" s="14">
        <f t="shared" si="14"/>
        <v>1424.6245062829596</v>
      </c>
      <c r="I93" s="11"/>
      <c r="J93" s="157">
        <f t="shared" si="7"/>
        <v>0.1067513290196794</v>
      </c>
      <c r="K93" s="157">
        <f t="shared" si="8"/>
        <v>0.13596199824081392</v>
      </c>
    </row>
    <row r="94" spans="1:11" ht="12.75">
      <c r="A94" s="19">
        <v>31</v>
      </c>
      <c r="B94" s="22">
        <f t="shared" si="5"/>
        <v>125.55000000000001</v>
      </c>
      <c r="C94" s="11">
        <f t="shared" si="6"/>
        <v>1693.2</v>
      </c>
      <c r="D94" s="3">
        <f t="shared" si="11"/>
        <v>1707.9616384417782</v>
      </c>
      <c r="E94" s="70">
        <f t="shared" si="12"/>
        <v>13.60383622813045</v>
      </c>
      <c r="F94" s="26" t="str">
        <f t="shared" si="13"/>
        <v>RuN</v>
      </c>
      <c r="G94" s="13">
        <f>B94*C$10</f>
        <v>15.23632911877747</v>
      </c>
      <c r="H94" s="14">
        <f t="shared" si="14"/>
        <v>1692.7253093230006</v>
      </c>
      <c r="I94" s="11"/>
      <c r="J94" s="157">
        <f t="shared" si="7"/>
        <v>0.1067513290196794</v>
      </c>
      <c r="K94" s="157">
        <f t="shared" si="8"/>
        <v>0.13596199824081392</v>
      </c>
    </row>
    <row r="95" spans="1:11" ht="12.75">
      <c r="A95" s="19">
        <v>93</v>
      </c>
      <c r="B95" s="22">
        <f t="shared" si="5"/>
        <v>125.55000000000001</v>
      </c>
      <c r="C95" s="11">
        <f t="shared" si="6"/>
        <v>1337.05</v>
      </c>
      <c r="D95" s="3">
        <f t="shared" si="11"/>
        <v>1351.4016590629813</v>
      </c>
      <c r="E95" s="70">
        <f t="shared" si="12"/>
        <v>10.763852322285791</v>
      </c>
      <c r="F95" s="26" t="str">
        <f t="shared" si="13"/>
        <v>RuN</v>
      </c>
      <c r="G95" s="13">
        <f>B95*C$10</f>
        <v>15.23632911877747</v>
      </c>
      <c r="H95" s="14">
        <f t="shared" si="14"/>
        <v>1336.1653299442037</v>
      </c>
      <c r="I95" s="11"/>
      <c r="J95" s="157">
        <f t="shared" si="7"/>
        <v>0.1067513290196794</v>
      </c>
      <c r="K95" s="157">
        <f t="shared" si="8"/>
        <v>0.13596199824081392</v>
      </c>
    </row>
    <row r="96" spans="1:11" s="69" customFormat="1" ht="12.75">
      <c r="A96" s="20">
        <v>28</v>
      </c>
      <c r="B96" s="22">
        <f t="shared" si="5"/>
        <v>126</v>
      </c>
      <c r="C96" s="11">
        <f>C$5*ROUND(ABS(SIN(A96+5)-1)*1000,0)</f>
        <v>0</v>
      </c>
      <c r="D96" s="4">
        <f t="shared" si="11"/>
        <v>15.324804775960747</v>
      </c>
      <c r="E96" s="71">
        <f t="shared" si="12"/>
        <v>0.1216254347298472</v>
      </c>
      <c r="F96" s="27" t="str">
        <f t="shared" si="13"/>
        <v>N</v>
      </c>
      <c r="G96" s="47">
        <f>B96*C$7</f>
        <v>15.324804775960747</v>
      </c>
      <c r="H96" s="48">
        <f t="shared" si="14"/>
        <v>0</v>
      </c>
      <c r="I96" s="21" t="s">
        <v>73</v>
      </c>
      <c r="J96" s="157">
        <f t="shared" si="7"/>
        <v>0.1067513290196794</v>
      </c>
      <c r="K96" s="157">
        <f t="shared" si="8"/>
        <v>0.13596199824081392</v>
      </c>
    </row>
    <row r="97" spans="1:11" ht="12.75">
      <c r="A97" s="19">
        <v>40</v>
      </c>
      <c r="B97" s="22">
        <f t="shared" si="5"/>
        <v>126</v>
      </c>
      <c r="C97" s="11">
        <f t="shared" si="6"/>
        <v>126.64999999999999</v>
      </c>
      <c r="D97" s="3">
        <f t="shared" si="11"/>
        <v>142.33330554932238</v>
      </c>
      <c r="E97" s="70">
        <f t="shared" si="12"/>
        <v>1.1296294091216061</v>
      </c>
      <c r="F97" s="26" t="str">
        <f t="shared" si="13"/>
        <v>RuN</v>
      </c>
      <c r="G97" s="13">
        <f>B97*C$10</f>
        <v>15.29093961741108</v>
      </c>
      <c r="H97" s="14">
        <f t="shared" si="14"/>
        <v>127.04236593191129</v>
      </c>
      <c r="I97" s="11"/>
      <c r="J97" s="157">
        <f t="shared" si="7"/>
        <v>0.1067513290196794</v>
      </c>
      <c r="K97" s="157">
        <f t="shared" si="8"/>
        <v>0.13596199824081392</v>
      </c>
    </row>
    <row r="98" spans="1:11" ht="12.75">
      <c r="A98" s="19">
        <v>48</v>
      </c>
      <c r="B98" s="22">
        <f t="shared" si="5"/>
        <v>129.60000000000002</v>
      </c>
      <c r="C98" s="11">
        <f t="shared" si="6"/>
        <v>513.4</v>
      </c>
      <c r="D98" s="3">
        <f t="shared" si="11"/>
        <v>528.3546051753547</v>
      </c>
      <c r="E98" s="70">
        <f t="shared" si="12"/>
        <v>4.076810225118477</v>
      </c>
      <c r="F98" s="26" t="str">
        <f t="shared" si="13"/>
        <v>RuN</v>
      </c>
      <c r="G98" s="13">
        <f>B98*C$10</f>
        <v>15.727823606479971</v>
      </c>
      <c r="H98" s="14">
        <f t="shared" si="14"/>
        <v>512.6267815688747</v>
      </c>
      <c r="I98" s="11"/>
      <c r="J98" s="157">
        <f t="shared" si="7"/>
        <v>0.1067513290196794</v>
      </c>
      <c r="K98" s="157">
        <f t="shared" si="8"/>
        <v>0.13596199824081392</v>
      </c>
    </row>
    <row r="99" spans="1:11" ht="12.75">
      <c r="A99" s="19">
        <v>35</v>
      </c>
      <c r="B99" s="22">
        <f t="shared" si="5"/>
        <v>141.75</v>
      </c>
      <c r="C99" s="11">
        <f t="shared" si="6"/>
        <v>216.75</v>
      </c>
      <c r="D99" s="3">
        <f t="shared" si="11"/>
        <v>233.39583063959353</v>
      </c>
      <c r="E99" s="70">
        <f t="shared" si="12"/>
        <v>1.6465314330835523</v>
      </c>
      <c r="F99" s="26" t="str">
        <f t="shared" si="13"/>
        <v>RuN</v>
      </c>
      <c r="G99" s="13">
        <f>B99*C$10</f>
        <v>17.202307069587466</v>
      </c>
      <c r="H99" s="14">
        <f t="shared" si="14"/>
        <v>216.19352357000605</v>
      </c>
      <c r="I99" s="11"/>
      <c r="J99" s="157">
        <f t="shared" si="7"/>
        <v>0.1067513290196794</v>
      </c>
      <c r="K99" s="157">
        <f t="shared" si="8"/>
        <v>0.13596199824081392</v>
      </c>
    </row>
    <row r="100" spans="1:11" ht="12.75">
      <c r="A100" s="19">
        <v>67</v>
      </c>
      <c r="B100" s="22">
        <f t="shared" si="5"/>
        <v>150.75</v>
      </c>
      <c r="C100" s="11">
        <f t="shared" si="6"/>
        <v>634.1</v>
      </c>
      <c r="D100" s="3">
        <f t="shared" si="11"/>
        <v>651.4161821790168</v>
      </c>
      <c r="E100" s="70">
        <f t="shared" si="12"/>
        <v>4.32116870433842</v>
      </c>
      <c r="F100" s="26" t="str">
        <f t="shared" si="13"/>
        <v>RuN</v>
      </c>
      <c r="G100" s="13">
        <f>B100*C$10</f>
        <v>18.294517042259685</v>
      </c>
      <c r="H100" s="14">
        <f t="shared" si="14"/>
        <v>633.1216651367571</v>
      </c>
      <c r="I100" s="11"/>
      <c r="J100" s="157">
        <f t="shared" si="7"/>
        <v>0.1067513290196794</v>
      </c>
      <c r="K100" s="157">
        <f t="shared" si="8"/>
        <v>0.13596199824081392</v>
      </c>
    </row>
    <row r="101" spans="1:11" ht="12.75">
      <c r="A101" s="20">
        <v>86</v>
      </c>
      <c r="B101" s="22">
        <f t="shared" si="5"/>
        <v>154.8</v>
      </c>
      <c r="C101" s="11">
        <v>0</v>
      </c>
      <c r="D101" s="4">
        <f aca="true" t="shared" si="16" ref="D101:D132">C101+B101*(C$6*(1+C$3*SIN(A101)))</f>
        <v>17.71829179442263</v>
      </c>
      <c r="E101" s="71">
        <f aca="true" t="shared" si="17" ref="E101:E132">IF(B101&gt;0,D101/B101,10000)</f>
        <v>0.11445924931797563</v>
      </c>
      <c r="F101" s="27" t="str">
        <f aca="true" t="shared" si="18" ref="F101:F131">IF(E101=10000,G$1,IF(D101=G101,H$1,I$1))</f>
        <v>N</v>
      </c>
      <c r="G101" s="47">
        <f>D101</f>
        <v>17.71829179442263</v>
      </c>
      <c r="H101" s="48">
        <v>0</v>
      </c>
      <c r="I101" s="21" t="s">
        <v>73</v>
      </c>
      <c r="J101" s="157">
        <f t="shared" si="7"/>
        <v>0.1067513290196794</v>
      </c>
      <c r="K101" s="157">
        <f t="shared" si="8"/>
        <v>0.13596199824081392</v>
      </c>
    </row>
    <row r="102" spans="1:11" ht="12.75">
      <c r="A102" s="19">
        <v>51</v>
      </c>
      <c r="B102" s="22">
        <f aca="true" t="shared" si="19" ref="B102:B136">A102*C$4*ABS(ROUND(COS(A102)*10,0))</f>
        <v>160.65</v>
      </c>
      <c r="C102" s="11">
        <f t="shared" si="6"/>
        <v>1293.7</v>
      </c>
      <c r="D102" s="3">
        <f t="shared" si="16"/>
        <v>1313.6240339025956</v>
      </c>
      <c r="E102" s="70">
        <f t="shared" si="17"/>
        <v>8.176931427965114</v>
      </c>
      <c r="F102" s="26" t="str">
        <f t="shared" si="18"/>
        <v>RuN</v>
      </c>
      <c r="G102" s="13">
        <f aca="true" t="shared" si="20" ref="G102:G110">B102*C$10</f>
        <v>19.495948012199126</v>
      </c>
      <c r="H102" s="14">
        <f aca="true" t="shared" si="21" ref="H102:H136">D102-G102</f>
        <v>1294.1280858903965</v>
      </c>
      <c r="I102" s="11"/>
      <c r="J102" s="157">
        <f aca="true" t="shared" si="22" ref="J102:J136">D$31</f>
        <v>0.1067513290196794</v>
      </c>
      <c r="K102" s="157">
        <f aca="true" t="shared" si="23" ref="K102:K136">D$32</f>
        <v>0.13596199824081392</v>
      </c>
    </row>
    <row r="103" spans="1:11" ht="12.75">
      <c r="A103" s="19">
        <v>90</v>
      </c>
      <c r="B103" s="22">
        <f t="shared" si="19"/>
        <v>162</v>
      </c>
      <c r="C103" s="11">
        <f aca="true" t="shared" si="24" ref="C103:C110">C$5*ROUND(ABS(SIN(A103+5)-1)*1000,0)</f>
        <v>269.45</v>
      </c>
      <c r="D103" s="3">
        <f t="shared" si="16"/>
        <v>289.7589647570197</v>
      </c>
      <c r="E103" s="70">
        <f t="shared" si="17"/>
        <v>1.788635584919875</v>
      </c>
      <c r="F103" s="26" t="str">
        <f t="shared" si="18"/>
        <v>RuN</v>
      </c>
      <c r="G103" s="13">
        <f t="shared" si="20"/>
        <v>19.65977950809996</v>
      </c>
      <c r="H103" s="14">
        <f t="shared" si="21"/>
        <v>270.09918524891975</v>
      </c>
      <c r="I103" s="11"/>
      <c r="J103" s="157">
        <f t="shared" si="22"/>
        <v>0.1067513290196794</v>
      </c>
      <c r="K103" s="157">
        <f t="shared" si="23"/>
        <v>0.13596199824081392</v>
      </c>
    </row>
    <row r="104" spans="1:11" ht="12.75">
      <c r="A104" s="19">
        <v>38</v>
      </c>
      <c r="B104" s="22">
        <f t="shared" si="19"/>
        <v>171</v>
      </c>
      <c r="C104" s="11">
        <f t="shared" si="24"/>
        <v>1557.2</v>
      </c>
      <c r="D104" s="3">
        <f t="shared" si="16"/>
        <v>1578.0240741617558</v>
      </c>
      <c r="E104" s="70">
        <f t="shared" si="17"/>
        <v>9.228210960010268</v>
      </c>
      <c r="F104" s="26" t="str">
        <f t="shared" si="18"/>
        <v>RuN</v>
      </c>
      <c r="G104" s="13">
        <f t="shared" si="20"/>
        <v>20.75198948077218</v>
      </c>
      <c r="H104" s="14">
        <f t="shared" si="21"/>
        <v>1557.2720846809837</v>
      </c>
      <c r="I104" s="11"/>
      <c r="J104" s="157">
        <f t="shared" si="22"/>
        <v>0.1067513290196794</v>
      </c>
      <c r="K104" s="157">
        <f t="shared" si="23"/>
        <v>0.13596199824081392</v>
      </c>
    </row>
    <row r="105" spans="1:11" ht="12.75">
      <c r="A105" s="19">
        <v>65</v>
      </c>
      <c r="B105" s="22">
        <f t="shared" si="19"/>
        <v>175.5</v>
      </c>
      <c r="C105" s="11">
        <f t="shared" si="24"/>
        <v>192.1</v>
      </c>
      <c r="D105" s="3">
        <f t="shared" si="16"/>
        <v>214.03065059950308</v>
      </c>
      <c r="E105" s="70">
        <f t="shared" si="17"/>
        <v>1.2195478666638353</v>
      </c>
      <c r="F105" s="26" t="str">
        <f t="shared" si="18"/>
        <v>RuN</v>
      </c>
      <c r="G105" s="13">
        <f t="shared" si="20"/>
        <v>21.29809446710829</v>
      </c>
      <c r="H105" s="14">
        <f t="shared" si="21"/>
        <v>192.7325561323948</v>
      </c>
      <c r="I105" s="11"/>
      <c r="J105" s="157">
        <f t="shared" si="22"/>
        <v>0.1067513290196794</v>
      </c>
      <c r="K105" s="157">
        <f t="shared" si="23"/>
        <v>0.13596199824081392</v>
      </c>
    </row>
    <row r="106" spans="1:11" ht="12.75">
      <c r="A106" s="19">
        <v>41</v>
      </c>
      <c r="B106" s="22">
        <f t="shared" si="19"/>
        <v>184.5</v>
      </c>
      <c r="C106" s="11">
        <f t="shared" si="24"/>
        <v>83.3</v>
      </c>
      <c r="D106" s="3">
        <f t="shared" si="16"/>
        <v>105.26440470563318</v>
      </c>
      <c r="E106" s="70">
        <f t="shared" si="17"/>
        <v>0.5705387788923207</v>
      </c>
      <c r="F106" s="26" t="str">
        <f t="shared" si="18"/>
        <v>RuN</v>
      </c>
      <c r="G106" s="13">
        <f t="shared" si="20"/>
        <v>22.39030443978051</v>
      </c>
      <c r="H106" s="14">
        <f t="shared" si="21"/>
        <v>82.87410026585268</v>
      </c>
      <c r="I106" s="11"/>
      <c r="J106" s="157">
        <f t="shared" si="22"/>
        <v>0.1067513290196794</v>
      </c>
      <c r="K106" s="157">
        <f t="shared" si="23"/>
        <v>0.13596199824081392</v>
      </c>
    </row>
    <row r="107" spans="1:11" ht="12.75">
      <c r="A107" s="19">
        <v>54</v>
      </c>
      <c r="B107" s="22">
        <f t="shared" si="19"/>
        <v>194.4</v>
      </c>
      <c r="C107" s="11">
        <f t="shared" si="24"/>
        <v>308.55</v>
      </c>
      <c r="D107" s="3">
        <f t="shared" si="16"/>
        <v>331.2262284534195</v>
      </c>
      <c r="E107" s="70">
        <f t="shared" si="17"/>
        <v>1.7038386237315817</v>
      </c>
      <c r="F107" s="26" t="str">
        <f t="shared" si="18"/>
        <v>RuN</v>
      </c>
      <c r="G107" s="13">
        <f t="shared" si="20"/>
        <v>23.591735409719952</v>
      </c>
      <c r="H107" s="14">
        <f t="shared" si="21"/>
        <v>307.63449304369954</v>
      </c>
      <c r="I107" s="11"/>
      <c r="J107" s="157">
        <f t="shared" si="22"/>
        <v>0.1067513290196794</v>
      </c>
      <c r="K107" s="157">
        <f t="shared" si="23"/>
        <v>0.13596199824081392</v>
      </c>
    </row>
    <row r="108" spans="1:11" ht="12.75">
      <c r="A108" s="19">
        <v>62</v>
      </c>
      <c r="B108" s="22">
        <f t="shared" si="19"/>
        <v>195.3</v>
      </c>
      <c r="C108" s="11">
        <f t="shared" si="24"/>
        <v>1577.6</v>
      </c>
      <c r="D108" s="3">
        <f t="shared" si="16"/>
        <v>1600.1698280596663</v>
      </c>
      <c r="E108" s="70">
        <f t="shared" si="17"/>
        <v>8.193393896874891</v>
      </c>
      <c r="F108" s="26" t="str">
        <f t="shared" si="18"/>
        <v>RuN</v>
      </c>
      <c r="G108" s="13">
        <f t="shared" si="20"/>
        <v>23.700956406987174</v>
      </c>
      <c r="H108" s="14">
        <f t="shared" si="21"/>
        <v>1576.4688716526791</v>
      </c>
      <c r="I108" s="11"/>
      <c r="J108" s="157">
        <f t="shared" si="22"/>
        <v>0.1067513290196794</v>
      </c>
      <c r="K108" s="157">
        <f t="shared" si="23"/>
        <v>0.13596199824081392</v>
      </c>
    </row>
    <row r="109" spans="1:11" ht="12.75">
      <c r="A109" s="19">
        <v>44</v>
      </c>
      <c r="B109" s="22">
        <f t="shared" si="19"/>
        <v>198</v>
      </c>
      <c r="C109" s="11">
        <f t="shared" si="24"/>
        <v>1660.8999999999999</v>
      </c>
      <c r="D109" s="3">
        <f t="shared" si="16"/>
        <v>1684.681029887025</v>
      </c>
      <c r="E109" s="70">
        <f t="shared" si="17"/>
        <v>8.50849004993447</v>
      </c>
      <c r="F109" s="26" t="str">
        <f t="shared" si="18"/>
        <v>RuN</v>
      </c>
      <c r="G109" s="13">
        <f t="shared" si="20"/>
        <v>24.02861939878884</v>
      </c>
      <c r="H109" s="14">
        <f t="shared" si="21"/>
        <v>1660.6524104882362</v>
      </c>
      <c r="I109" s="11"/>
      <c r="J109" s="157">
        <f t="shared" si="22"/>
        <v>0.1067513290196794</v>
      </c>
      <c r="K109" s="157">
        <f t="shared" si="23"/>
        <v>0.13596199824081392</v>
      </c>
    </row>
    <row r="110" spans="1:11" ht="12.75">
      <c r="A110" s="19">
        <v>89</v>
      </c>
      <c r="B110" s="22">
        <f t="shared" si="19"/>
        <v>200.25000000000003</v>
      </c>
      <c r="C110" s="11">
        <f t="shared" si="24"/>
        <v>1058.25</v>
      </c>
      <c r="D110" s="3">
        <f t="shared" si="16"/>
        <v>1083.3133733910836</v>
      </c>
      <c r="E110" s="70">
        <f t="shared" si="17"/>
        <v>5.4098046111914275</v>
      </c>
      <c r="F110" s="26" t="str">
        <f t="shared" si="18"/>
        <v>RuN</v>
      </c>
      <c r="G110" s="13">
        <f t="shared" si="20"/>
        <v>24.301671891956897</v>
      </c>
      <c r="H110" s="14">
        <f t="shared" si="21"/>
        <v>1059.0117014991267</v>
      </c>
      <c r="I110" s="11"/>
      <c r="J110" s="157">
        <f t="shared" si="22"/>
        <v>0.1067513290196794</v>
      </c>
      <c r="K110" s="157">
        <f t="shared" si="23"/>
        <v>0.13596199824081392</v>
      </c>
    </row>
    <row r="111" spans="1:11" ht="12.75">
      <c r="A111" s="40">
        <v>47</v>
      </c>
      <c r="B111" s="22">
        <f t="shared" si="19"/>
        <v>211.50000000000003</v>
      </c>
      <c r="C111" s="11">
        <v>0</v>
      </c>
      <c r="D111" s="42">
        <f t="shared" si="16"/>
        <v>25.53681429276369</v>
      </c>
      <c r="E111" s="73">
        <f t="shared" si="17"/>
        <v>0.12074143873647133</v>
      </c>
      <c r="F111" s="27" t="str">
        <f t="shared" si="18"/>
        <v>N</v>
      </c>
      <c r="G111" s="45">
        <f>D111</f>
        <v>25.53681429276369</v>
      </c>
      <c r="H111" s="46">
        <f t="shared" si="21"/>
        <v>0</v>
      </c>
      <c r="I111" s="41" t="s">
        <v>79</v>
      </c>
      <c r="J111" s="157">
        <f t="shared" si="22"/>
        <v>0.1067513290196794</v>
      </c>
      <c r="K111" s="157">
        <f t="shared" si="23"/>
        <v>0.13596199824081392</v>
      </c>
    </row>
    <row r="112" spans="1:11" s="69" customFormat="1" ht="12.75">
      <c r="A112" s="19">
        <v>59</v>
      </c>
      <c r="B112" s="22">
        <f t="shared" si="19"/>
        <v>212.4</v>
      </c>
      <c r="C112" s="11">
        <f aca="true" t="shared" si="25" ref="C112:C119">C$5*ROUND(ABS(SIN(A112+5)-1)*1000,0)</f>
        <v>68</v>
      </c>
      <c r="D112" s="3">
        <f t="shared" si="16"/>
        <v>94.29945891629812</v>
      </c>
      <c r="E112" s="70">
        <f t="shared" si="17"/>
        <v>0.4439710871765448</v>
      </c>
      <c r="F112" s="26" t="str">
        <f t="shared" si="18"/>
        <v>RuN</v>
      </c>
      <c r="G112" s="13">
        <f aca="true" t="shared" si="26" ref="G112:G119">B112*C$10</f>
        <v>25.776155355064393</v>
      </c>
      <c r="H112" s="14">
        <f t="shared" si="21"/>
        <v>68.52330356123373</v>
      </c>
      <c r="I112" s="11"/>
      <c r="J112" s="157">
        <f t="shared" si="22"/>
        <v>0.1067513290196794</v>
      </c>
      <c r="K112" s="157">
        <f t="shared" si="23"/>
        <v>0.13596199824081392</v>
      </c>
    </row>
    <row r="113" spans="1:11" ht="12.75">
      <c r="A113" s="19">
        <v>53</v>
      </c>
      <c r="B113" s="22">
        <f t="shared" si="19"/>
        <v>214.65</v>
      </c>
      <c r="C113" s="11">
        <f t="shared" si="25"/>
        <v>5.95</v>
      </c>
      <c r="D113" s="3">
        <f t="shared" si="16"/>
        <v>32.217912000919185</v>
      </c>
      <c r="E113" s="70">
        <f t="shared" si="17"/>
        <v>0.1500950943439049</v>
      </c>
      <c r="F113" s="26" t="str">
        <f t="shared" si="18"/>
        <v>RuN</v>
      </c>
      <c r="G113" s="13">
        <f t="shared" si="26"/>
        <v>26.04920784823245</v>
      </c>
      <c r="H113" s="14">
        <f t="shared" si="21"/>
        <v>6.168704152686736</v>
      </c>
      <c r="I113" s="11" t="s">
        <v>128</v>
      </c>
      <c r="J113" s="157">
        <f t="shared" si="22"/>
        <v>0.1067513290196794</v>
      </c>
      <c r="K113" s="157">
        <f t="shared" si="23"/>
        <v>0.13596199824081392</v>
      </c>
    </row>
    <row r="114" spans="1:11" s="69" customFormat="1" ht="12.75">
      <c r="A114" s="19">
        <v>50</v>
      </c>
      <c r="B114" s="22">
        <f t="shared" si="19"/>
        <v>225</v>
      </c>
      <c r="C114" s="11">
        <f t="shared" si="25"/>
        <v>1700</v>
      </c>
      <c r="D114" s="3">
        <f t="shared" si="16"/>
        <v>1726.6457939474997</v>
      </c>
      <c r="E114" s="70">
        <f t="shared" si="17"/>
        <v>7.6739813064333315</v>
      </c>
      <c r="F114" s="26" t="str">
        <f t="shared" si="18"/>
        <v>RuN</v>
      </c>
      <c r="G114" s="13">
        <f t="shared" si="26"/>
        <v>27.3052493168055</v>
      </c>
      <c r="H114" s="14">
        <f t="shared" si="21"/>
        <v>1699.3405446306942</v>
      </c>
      <c r="I114" s="11"/>
      <c r="J114" s="157">
        <f t="shared" si="22"/>
        <v>0.1067513290196794</v>
      </c>
      <c r="K114" s="157">
        <f t="shared" si="23"/>
        <v>0.13596199824081392</v>
      </c>
    </row>
    <row r="115" spans="1:11" ht="12.75">
      <c r="A115" s="19">
        <v>56</v>
      </c>
      <c r="B115" s="22">
        <f t="shared" si="19"/>
        <v>226.79999999999998</v>
      </c>
      <c r="C115" s="11">
        <f t="shared" si="25"/>
        <v>1671.1</v>
      </c>
      <c r="D115" s="3">
        <f t="shared" si="16"/>
        <v>1697.60627339636</v>
      </c>
      <c r="E115" s="70">
        <f t="shared" si="17"/>
        <v>7.4850364788199295</v>
      </c>
      <c r="F115" s="26" t="str">
        <f t="shared" si="18"/>
        <v>RuN</v>
      </c>
      <c r="G115" s="13">
        <f t="shared" si="26"/>
        <v>27.52369131133994</v>
      </c>
      <c r="H115" s="14">
        <f t="shared" si="21"/>
        <v>1670.08258208502</v>
      </c>
      <c r="I115" s="11"/>
      <c r="J115" s="157">
        <f t="shared" si="22"/>
        <v>0.1067513290196794</v>
      </c>
      <c r="K115" s="157">
        <f t="shared" si="23"/>
        <v>0.13596199824081392</v>
      </c>
    </row>
    <row r="116" spans="1:11" ht="12.75">
      <c r="A116" s="19">
        <v>57</v>
      </c>
      <c r="B116" s="22">
        <f t="shared" si="19"/>
        <v>230.85000000000002</v>
      </c>
      <c r="C116" s="11">
        <f t="shared" si="25"/>
        <v>1478.1499999999999</v>
      </c>
      <c r="D116" s="3">
        <f t="shared" si="16"/>
        <v>1506.4561318024937</v>
      </c>
      <c r="E116" s="70">
        <f t="shared" si="17"/>
        <v>6.525692578741579</v>
      </c>
      <c r="F116" s="26" t="str">
        <f t="shared" si="18"/>
        <v>RuN</v>
      </c>
      <c r="G116" s="13">
        <f t="shared" si="26"/>
        <v>28.015185799042445</v>
      </c>
      <c r="H116" s="14">
        <f t="shared" si="21"/>
        <v>1478.4409460034512</v>
      </c>
      <c r="I116" s="11"/>
      <c r="J116" s="157">
        <f t="shared" si="22"/>
        <v>0.1067513290196794</v>
      </c>
      <c r="K116" s="157">
        <f t="shared" si="23"/>
        <v>0.13596199824081392</v>
      </c>
    </row>
    <row r="117" spans="1:11" ht="12.75">
      <c r="A117" s="19">
        <v>87</v>
      </c>
      <c r="B117" s="22">
        <f t="shared" si="19"/>
        <v>234.89999999999998</v>
      </c>
      <c r="C117" s="11">
        <f t="shared" si="25"/>
        <v>1512.1499999999999</v>
      </c>
      <c r="D117" s="3">
        <f t="shared" si="16"/>
        <v>1539.1797299410523</v>
      </c>
      <c r="E117" s="70">
        <f t="shared" si="17"/>
        <v>6.552489271779704</v>
      </c>
      <c r="F117" s="26" t="str">
        <f t="shared" si="18"/>
        <v>RuN</v>
      </c>
      <c r="G117" s="13">
        <f t="shared" si="26"/>
        <v>28.50668028674494</v>
      </c>
      <c r="H117" s="14">
        <f t="shared" si="21"/>
        <v>1510.6730496543073</v>
      </c>
      <c r="I117" s="11"/>
      <c r="J117" s="157">
        <f t="shared" si="22"/>
        <v>0.1067513290196794</v>
      </c>
      <c r="K117" s="157">
        <f t="shared" si="23"/>
        <v>0.13596199824081392</v>
      </c>
    </row>
    <row r="118" spans="1:11" ht="12.75">
      <c r="A118" s="19">
        <v>92</v>
      </c>
      <c r="B118" s="22">
        <f t="shared" si="19"/>
        <v>248.39999999999998</v>
      </c>
      <c r="C118" s="11">
        <f t="shared" si="25"/>
        <v>527</v>
      </c>
      <c r="D118" s="3">
        <f t="shared" si="16"/>
        <v>555.6462837698446</v>
      </c>
      <c r="E118" s="70">
        <f t="shared" si="17"/>
        <v>2.236901303421275</v>
      </c>
      <c r="F118" s="26" t="str">
        <f t="shared" si="18"/>
        <v>RuN</v>
      </c>
      <c r="G118" s="13">
        <f t="shared" si="26"/>
        <v>30.144995245753268</v>
      </c>
      <c r="H118" s="14">
        <f t="shared" si="21"/>
        <v>525.5012885240913</v>
      </c>
      <c r="I118" s="11"/>
      <c r="J118" s="157">
        <f t="shared" si="22"/>
        <v>0.1067513290196794</v>
      </c>
      <c r="K118" s="157">
        <f t="shared" si="23"/>
        <v>0.13596199824081392</v>
      </c>
    </row>
    <row r="119" spans="1:11" ht="12.75">
      <c r="A119" s="19">
        <v>84</v>
      </c>
      <c r="B119" s="22">
        <f t="shared" si="19"/>
        <v>264.6</v>
      </c>
      <c r="C119" s="11">
        <f t="shared" si="25"/>
        <v>119</v>
      </c>
      <c r="D119" s="3">
        <f t="shared" si="16"/>
        <v>151.91601295214838</v>
      </c>
      <c r="E119" s="70">
        <f t="shared" si="17"/>
        <v>0.5741345916558895</v>
      </c>
      <c r="F119" s="26" t="str">
        <f t="shared" si="18"/>
        <v>RuN</v>
      </c>
      <c r="G119" s="13">
        <f t="shared" si="26"/>
        <v>32.11097319656327</v>
      </c>
      <c r="H119" s="14">
        <f t="shared" si="21"/>
        <v>119.80503975558511</v>
      </c>
      <c r="I119" s="11"/>
      <c r="J119" s="157">
        <f t="shared" si="22"/>
        <v>0.1067513290196794</v>
      </c>
      <c r="K119" s="157">
        <f t="shared" si="23"/>
        <v>0.13596199824081392</v>
      </c>
    </row>
    <row r="120" spans="1:11" s="69" customFormat="1" ht="12.75">
      <c r="A120" s="40">
        <v>60</v>
      </c>
      <c r="B120" s="22">
        <f t="shared" si="19"/>
        <v>270</v>
      </c>
      <c r="C120" s="11">
        <v>0</v>
      </c>
      <c r="D120" s="42">
        <f t="shared" si="16"/>
        <v>31.90620679381441</v>
      </c>
      <c r="E120" s="73">
        <f t="shared" si="17"/>
        <v>0.1181711362733867</v>
      </c>
      <c r="F120" s="27" t="str">
        <f t="shared" si="18"/>
        <v>N</v>
      </c>
      <c r="G120" s="45">
        <f>D120</f>
        <v>31.90620679381441</v>
      </c>
      <c r="H120" s="46">
        <f t="shared" si="21"/>
        <v>0</v>
      </c>
      <c r="I120" s="41" t="s">
        <v>79</v>
      </c>
      <c r="J120" s="157">
        <f t="shared" si="22"/>
        <v>0.1067513290196794</v>
      </c>
      <c r="K120" s="157">
        <f t="shared" si="23"/>
        <v>0.13596199824081392</v>
      </c>
    </row>
    <row r="121" spans="1:11" ht="12.75">
      <c r="A121" s="19">
        <v>76</v>
      </c>
      <c r="B121" s="22">
        <f t="shared" si="19"/>
        <v>273.6</v>
      </c>
      <c r="C121" s="11">
        <f aca="true" t="shared" si="27" ref="C121:C126">C$5*ROUND(ABS(SIN(A121+5)-1)*1000,0)</f>
        <v>1385.5</v>
      </c>
      <c r="D121" s="3">
        <f t="shared" si="16"/>
        <v>1419.261322296732</v>
      </c>
      <c r="E121" s="70">
        <f t="shared" si="17"/>
        <v>5.1873586341254825</v>
      </c>
      <c r="F121" s="26" t="str">
        <f t="shared" si="18"/>
        <v>RuN</v>
      </c>
      <c r="G121" s="13">
        <f aca="true" t="shared" si="28" ref="G121:G126">B121*C$10</f>
        <v>33.20318316923549</v>
      </c>
      <c r="H121" s="14">
        <f t="shared" si="21"/>
        <v>1386.0581391274966</v>
      </c>
      <c r="I121" s="11"/>
      <c r="J121" s="157">
        <f t="shared" si="22"/>
        <v>0.1067513290196794</v>
      </c>
      <c r="K121" s="157">
        <f t="shared" si="23"/>
        <v>0.13596199824081392</v>
      </c>
    </row>
    <row r="122" spans="1:11" s="1" customFormat="1" ht="12.75">
      <c r="A122" s="19">
        <v>63</v>
      </c>
      <c r="B122" s="22">
        <f t="shared" si="19"/>
        <v>283.5</v>
      </c>
      <c r="C122" s="11">
        <f t="shared" si="27"/>
        <v>1613.3</v>
      </c>
      <c r="D122" s="3">
        <f t="shared" si="16"/>
        <v>1647.604672046215</v>
      </c>
      <c r="E122" s="70">
        <f t="shared" si="17"/>
        <v>5.811656691521041</v>
      </c>
      <c r="F122" s="26" t="str">
        <f t="shared" si="18"/>
        <v>RuN</v>
      </c>
      <c r="G122" s="13">
        <f t="shared" si="28"/>
        <v>34.40461413917493</v>
      </c>
      <c r="H122" s="14">
        <f t="shared" si="21"/>
        <v>1613.20005790704</v>
      </c>
      <c r="I122" s="11"/>
      <c r="J122" s="157">
        <f t="shared" si="22"/>
        <v>0.1067513290196794</v>
      </c>
      <c r="K122" s="157">
        <f t="shared" si="23"/>
        <v>0.13596199824081392</v>
      </c>
    </row>
    <row r="123" spans="1:11" s="10" customFormat="1" ht="12.75">
      <c r="A123" s="19">
        <v>66</v>
      </c>
      <c r="B123" s="22">
        <f t="shared" si="19"/>
        <v>297</v>
      </c>
      <c r="C123" s="11">
        <f t="shared" si="27"/>
        <v>41.65</v>
      </c>
      <c r="D123" s="3">
        <f t="shared" si="16"/>
        <v>77.24268584352929</v>
      </c>
      <c r="E123" s="70">
        <f t="shared" si="17"/>
        <v>0.2600763833115464</v>
      </c>
      <c r="F123" s="26" t="str">
        <f t="shared" si="18"/>
        <v>RuN</v>
      </c>
      <c r="G123" s="13">
        <f t="shared" si="28"/>
        <v>36.04292909818326</v>
      </c>
      <c r="H123" s="14">
        <f t="shared" si="21"/>
        <v>41.19975674534603</v>
      </c>
      <c r="I123" s="11"/>
      <c r="J123" s="157">
        <f t="shared" si="22"/>
        <v>0.1067513290196794</v>
      </c>
      <c r="K123" s="157">
        <f t="shared" si="23"/>
        <v>0.13596199824081392</v>
      </c>
    </row>
    <row r="124" spans="1:11" ht="12.75">
      <c r="A124" s="19">
        <v>95</v>
      </c>
      <c r="B124" s="22">
        <f t="shared" si="19"/>
        <v>299.25</v>
      </c>
      <c r="C124" s="11">
        <f t="shared" si="27"/>
        <v>1280.1</v>
      </c>
      <c r="D124" s="3">
        <f t="shared" si="16"/>
        <v>1317.2367964088087</v>
      </c>
      <c r="E124" s="70">
        <f t="shared" si="17"/>
        <v>4.401793805877389</v>
      </c>
      <c r="F124" s="26" t="str">
        <f t="shared" si="18"/>
        <v>RuN</v>
      </c>
      <c r="G124" s="13">
        <f t="shared" si="28"/>
        <v>36.31598159135132</v>
      </c>
      <c r="H124" s="14">
        <f t="shared" si="21"/>
        <v>1280.9208148174573</v>
      </c>
      <c r="I124" s="11"/>
      <c r="J124" s="157">
        <f t="shared" si="22"/>
        <v>0.1067513290196794</v>
      </c>
      <c r="K124" s="157">
        <f t="shared" si="23"/>
        <v>0.13596199824081392</v>
      </c>
    </row>
    <row r="125" spans="1:11" ht="12.75">
      <c r="A125" s="19">
        <v>75</v>
      </c>
      <c r="B125" s="22">
        <f t="shared" si="19"/>
        <v>303.75</v>
      </c>
      <c r="C125" s="11">
        <f t="shared" si="27"/>
        <v>1694.8999999999999</v>
      </c>
      <c r="D125" s="3">
        <f t="shared" si="16"/>
        <v>1730.6432679694663</v>
      </c>
      <c r="E125" s="70">
        <f t="shared" si="17"/>
        <v>5.697591005660795</v>
      </c>
      <c r="F125" s="26" t="str">
        <f t="shared" si="18"/>
        <v>RuN</v>
      </c>
      <c r="G125" s="13">
        <f t="shared" si="28"/>
        <v>36.86208657768742</v>
      </c>
      <c r="H125" s="14">
        <f t="shared" si="21"/>
        <v>1693.7811813917788</v>
      </c>
      <c r="I125" s="11"/>
      <c r="J125" s="157">
        <f t="shared" si="22"/>
        <v>0.1067513290196794</v>
      </c>
      <c r="K125" s="157">
        <f t="shared" si="23"/>
        <v>0.13596199824081392</v>
      </c>
    </row>
    <row r="126" spans="1:11" ht="12.75">
      <c r="A126" s="19">
        <v>69</v>
      </c>
      <c r="B126" s="22">
        <f t="shared" si="19"/>
        <v>310.5</v>
      </c>
      <c r="C126" s="11">
        <f t="shared" si="27"/>
        <v>1687.25</v>
      </c>
      <c r="D126" s="3">
        <f t="shared" si="16"/>
        <v>1724.296155891922</v>
      </c>
      <c r="E126" s="70">
        <f t="shared" si="17"/>
        <v>5.5532887468338865</v>
      </c>
      <c r="F126" s="26" t="str">
        <f t="shared" si="18"/>
        <v>RuN</v>
      </c>
      <c r="G126" s="13">
        <f t="shared" si="28"/>
        <v>37.68124405719159</v>
      </c>
      <c r="H126" s="14">
        <f t="shared" si="21"/>
        <v>1686.6149118347303</v>
      </c>
      <c r="I126" s="11"/>
      <c r="J126" s="157">
        <f t="shared" si="22"/>
        <v>0.1067513290196794</v>
      </c>
      <c r="K126" s="157">
        <f t="shared" si="23"/>
        <v>0.13596199824081392</v>
      </c>
    </row>
    <row r="127" spans="1:11" ht="12.75">
      <c r="A127" s="38">
        <v>78</v>
      </c>
      <c r="B127" s="22">
        <f t="shared" si="19"/>
        <v>315.90000000000003</v>
      </c>
      <c r="C127" s="11">
        <v>0</v>
      </c>
      <c r="D127" s="5">
        <f t="shared" si="16"/>
        <v>38.88219476547877</v>
      </c>
      <c r="E127" s="72">
        <f t="shared" si="17"/>
        <v>0.1230838707359252</v>
      </c>
      <c r="F127" s="27" t="str">
        <f t="shared" si="18"/>
        <v>N</v>
      </c>
      <c r="G127" s="15">
        <f>D127</f>
        <v>38.88219476547877</v>
      </c>
      <c r="H127" s="16">
        <f t="shared" si="21"/>
        <v>0</v>
      </c>
      <c r="I127" s="12" t="s">
        <v>79</v>
      </c>
      <c r="J127" s="157">
        <f t="shared" si="22"/>
        <v>0.1067513290196794</v>
      </c>
      <c r="K127" s="157">
        <f t="shared" si="23"/>
        <v>0.13596199824081392</v>
      </c>
    </row>
    <row r="128" spans="1:11" ht="12.75">
      <c r="A128" s="19">
        <v>79</v>
      </c>
      <c r="B128" s="22">
        <f t="shared" si="19"/>
        <v>319.95000000000005</v>
      </c>
      <c r="C128" s="11">
        <f>C$5*ROUND(ABS(SIN(A128+5)-1)*1000,0)</f>
        <v>226.95</v>
      </c>
      <c r="D128" s="3">
        <f t="shared" si="16"/>
        <v>264.49143690988217</v>
      </c>
      <c r="E128" s="70">
        <f t="shared" si="17"/>
        <v>0.826664906735059</v>
      </c>
      <c r="F128" s="26" t="str">
        <f t="shared" si="18"/>
        <v>RuN</v>
      </c>
      <c r="G128" s="13">
        <f>B128*C$10</f>
        <v>38.82806452849743</v>
      </c>
      <c r="H128" s="14">
        <f t="shared" si="21"/>
        <v>225.66337238138473</v>
      </c>
      <c r="I128" s="11"/>
      <c r="J128" s="157">
        <f t="shared" si="22"/>
        <v>0.1067513290196794</v>
      </c>
      <c r="K128" s="157">
        <f t="shared" si="23"/>
        <v>0.13596199824081392</v>
      </c>
    </row>
    <row r="129" spans="1:11" ht="12.75">
      <c r="A129" s="40">
        <v>72</v>
      </c>
      <c r="B129" s="22">
        <f t="shared" si="19"/>
        <v>324</v>
      </c>
      <c r="C129" s="11">
        <f>C$5*ROUND(ABS(SIN(A129+5)-1)*1000,0)</f>
        <v>0</v>
      </c>
      <c r="D129" s="5">
        <f t="shared" si="16"/>
        <v>39.3734326172094</v>
      </c>
      <c r="E129" s="73">
        <f t="shared" si="17"/>
        <v>0.12152294017657223</v>
      </c>
      <c r="F129" s="27" t="str">
        <f t="shared" si="18"/>
        <v>N</v>
      </c>
      <c r="G129" s="45">
        <f>D129</f>
        <v>39.3734326172094</v>
      </c>
      <c r="H129" s="46">
        <f t="shared" si="21"/>
        <v>0</v>
      </c>
      <c r="I129" s="41" t="s">
        <v>79</v>
      </c>
      <c r="J129" s="157">
        <f t="shared" si="22"/>
        <v>0.1067513290196794</v>
      </c>
      <c r="K129" s="157">
        <f t="shared" si="23"/>
        <v>0.13596199824081392</v>
      </c>
    </row>
    <row r="130" spans="1:11" ht="12.75">
      <c r="A130" s="19">
        <v>82</v>
      </c>
      <c r="B130" s="22">
        <f t="shared" si="19"/>
        <v>332.09999999999997</v>
      </c>
      <c r="C130" s="11">
        <f>C$5*ROUND(ABS(SIN(A130+5)-1)*1000,0)</f>
        <v>1548.7</v>
      </c>
      <c r="D130" s="3">
        <f t="shared" si="16"/>
        <v>1589.1761396718762</v>
      </c>
      <c r="E130" s="70">
        <f t="shared" si="17"/>
        <v>4.78523378401649</v>
      </c>
      <c r="F130" s="26" t="str">
        <f t="shared" si="18"/>
        <v>RuN</v>
      </c>
      <c r="G130" s="13">
        <f>B130*C$10</f>
        <v>40.30254799160491</v>
      </c>
      <c r="H130" s="14">
        <f t="shared" si="21"/>
        <v>1548.8735916802711</v>
      </c>
      <c r="I130" s="11"/>
      <c r="J130" s="157">
        <f t="shared" si="22"/>
        <v>0.1067513290196794</v>
      </c>
      <c r="K130" s="157">
        <f t="shared" si="23"/>
        <v>0.13596199824081392</v>
      </c>
    </row>
    <row r="131" spans="1:11" ht="12.75">
      <c r="A131" s="19">
        <v>85</v>
      </c>
      <c r="B131" s="22">
        <f t="shared" si="19"/>
        <v>382.5</v>
      </c>
      <c r="C131" s="11">
        <f>C$5*ROUND(ABS(SIN(A131+5)-1)*1000,0)</f>
        <v>90.1</v>
      </c>
      <c r="D131" s="3">
        <f t="shared" si="16"/>
        <v>135.59590645221797</v>
      </c>
      <c r="E131" s="70">
        <f t="shared" si="17"/>
        <v>0.354499101835864</v>
      </c>
      <c r="F131" s="26" t="str">
        <f t="shared" si="18"/>
        <v>RuN</v>
      </c>
      <c r="G131" s="13">
        <f>B131*C$10</f>
        <v>46.41892383856935</v>
      </c>
      <c r="H131" s="14">
        <f t="shared" si="21"/>
        <v>89.17698261364862</v>
      </c>
      <c r="I131" s="11"/>
      <c r="J131" s="157">
        <f t="shared" si="22"/>
        <v>0.1067513290196794</v>
      </c>
      <c r="K131" s="157">
        <f t="shared" si="23"/>
        <v>0.13596199824081392</v>
      </c>
    </row>
    <row r="132" spans="1:11" ht="12.75">
      <c r="A132" s="100">
        <v>97</v>
      </c>
      <c r="B132" s="22">
        <f t="shared" si="19"/>
        <v>392.84999999999997</v>
      </c>
      <c r="C132" s="11">
        <v>4</v>
      </c>
      <c r="D132" s="102">
        <f t="shared" si="16"/>
        <v>52.03677340166176</v>
      </c>
      <c r="E132" s="103">
        <f t="shared" si="17"/>
        <v>0.1324596497433162</v>
      </c>
      <c r="F132" s="106" t="s">
        <v>54</v>
      </c>
      <c r="G132" s="104">
        <f>D132</f>
        <v>52.03677340166176</v>
      </c>
      <c r="H132" s="105">
        <f t="shared" si="21"/>
        <v>0</v>
      </c>
      <c r="I132" s="101" t="s">
        <v>82</v>
      </c>
      <c r="J132" s="157">
        <f t="shared" si="22"/>
        <v>0.1067513290196794</v>
      </c>
      <c r="K132" s="157">
        <f t="shared" si="23"/>
        <v>0.13596199824081392</v>
      </c>
    </row>
    <row r="133" spans="1:11" ht="12.75">
      <c r="A133" s="19">
        <v>88</v>
      </c>
      <c r="B133" s="22">
        <f t="shared" si="19"/>
        <v>396</v>
      </c>
      <c r="C133" s="11">
        <f>C$5*ROUND(ABS(SIN(A133+5)-1)*1000,0)</f>
        <v>1655.8</v>
      </c>
      <c r="D133" s="3">
        <f>C133+B133*(C$6*(1+C$3*SIN(A133)))</f>
        <v>1703.404106367295</v>
      </c>
      <c r="E133" s="70">
        <f>IF(B133&gt;0,D133/B133,10000)</f>
        <v>4.301525521129533</v>
      </c>
      <c r="F133" s="26" t="str">
        <f>IF(E133=10000,G$1,IF(D133=G133,H$1,I$1))</f>
        <v>RuN</v>
      </c>
      <c r="G133" s="13">
        <f>B133*C$10</f>
        <v>48.05723879757768</v>
      </c>
      <c r="H133" s="14">
        <f t="shared" si="21"/>
        <v>1655.3468675697175</v>
      </c>
      <c r="I133" s="11"/>
      <c r="J133" s="157">
        <f t="shared" si="22"/>
        <v>0.1067513290196794</v>
      </c>
      <c r="K133" s="157">
        <f t="shared" si="23"/>
        <v>0.13596199824081392</v>
      </c>
    </row>
    <row r="134" spans="1:11" ht="12.75">
      <c r="A134" s="19">
        <v>100</v>
      </c>
      <c r="B134" s="22">
        <f t="shared" si="19"/>
        <v>405</v>
      </c>
      <c r="C134" s="11">
        <f>C$5*ROUND(ABS(SIN(A134+5)-1)*1000,0)</f>
        <v>1675.35</v>
      </c>
      <c r="D134" s="3">
        <f>C134+B134*(C$6*(1+C$3*SIN(A134)))</f>
        <v>1722.7195314921032</v>
      </c>
      <c r="E134" s="70">
        <f>IF(B134&gt;0,D134/B134,10000)</f>
        <v>4.253628472820008</v>
      </c>
      <c r="F134" s="26" t="str">
        <f>IF(E134=10000,G$1,IF(D134=G134,H$1,I$1))</f>
        <v>RuN</v>
      </c>
      <c r="G134" s="13">
        <f>B134*C$10</f>
        <v>49.1494487702499</v>
      </c>
      <c r="H134" s="14">
        <f t="shared" si="21"/>
        <v>1673.5700827218534</v>
      </c>
      <c r="I134" s="11"/>
      <c r="J134" s="157">
        <f t="shared" si="22"/>
        <v>0.1067513290196794</v>
      </c>
      <c r="K134" s="157">
        <f t="shared" si="23"/>
        <v>0.13596199824081392</v>
      </c>
    </row>
    <row r="135" spans="1:11" ht="12.75">
      <c r="A135" s="38">
        <v>91</v>
      </c>
      <c r="B135" s="22">
        <f t="shared" si="19"/>
        <v>409.5</v>
      </c>
      <c r="C135" s="11">
        <v>0</v>
      </c>
      <c r="D135" s="5">
        <f>C135+B135*(C$6*(1+C$3*SIN(A135)))</f>
        <v>49.40041131637259</v>
      </c>
      <c r="E135" s="72">
        <f>IF(B135&gt;0,D135/B135,10000)</f>
        <v>0.12063592507050694</v>
      </c>
      <c r="F135" s="27" t="str">
        <f>IF(E135=10000,G$1,IF(D135=G135,H$1,I$1))</f>
        <v>N</v>
      </c>
      <c r="G135" s="15">
        <f>D135</f>
        <v>49.40041131637259</v>
      </c>
      <c r="H135" s="16">
        <f t="shared" si="21"/>
        <v>0</v>
      </c>
      <c r="I135" s="41" t="s">
        <v>79</v>
      </c>
      <c r="J135" s="157">
        <f t="shared" si="22"/>
        <v>0.1067513290196794</v>
      </c>
      <c r="K135" s="157">
        <f t="shared" si="23"/>
        <v>0.13596199824081392</v>
      </c>
    </row>
    <row r="136" spans="1:11" ht="13.5" thickBot="1">
      <c r="A136" s="28">
        <v>94</v>
      </c>
      <c r="B136" s="22">
        <f t="shared" si="19"/>
        <v>423.00000000000006</v>
      </c>
      <c r="C136" s="11">
        <f>C$5*ROUND(ABS(SIN(A136+5)-1)*1000,0)</f>
        <v>1699.1499999999999</v>
      </c>
      <c r="D136" s="3">
        <f>C136+B136*(C$6*(1+C$3*SIN(A136)))</f>
        <v>1749.287550460883</v>
      </c>
      <c r="E136" s="74">
        <f>IF(B136&gt;0,D136/B136,10000)</f>
        <v>4.135431561373245</v>
      </c>
      <c r="F136" s="26" t="str">
        <f>IF(E136=10000,G$1,IF(D136=G136,H$1,I$1))</f>
        <v>RuN</v>
      </c>
      <c r="G136" s="13">
        <f>B136*C$10</f>
        <v>51.33386871559435</v>
      </c>
      <c r="H136" s="18">
        <f t="shared" si="21"/>
        <v>1697.9536817452886</v>
      </c>
      <c r="I136" s="29"/>
      <c r="J136" s="157">
        <f t="shared" si="22"/>
        <v>0.1067513290196794</v>
      </c>
      <c r="K136" s="157">
        <f t="shared" si="23"/>
        <v>0.13596199824081392</v>
      </c>
    </row>
    <row r="137" spans="1:9" ht="13.5" thickBot="1">
      <c r="A137" s="61"/>
      <c r="B137" s="62">
        <f>SUM(B37:B136)</f>
        <v>13032.45</v>
      </c>
      <c r="C137" s="63">
        <f>SUM(C37:C136)</f>
        <v>81185.79999999999</v>
      </c>
      <c r="D137" s="64">
        <f>SUM(D37:D136)</f>
        <v>82750.47682190099</v>
      </c>
      <c r="E137" s="75">
        <f>MIN(E37:E136)</f>
        <v>0.1140493268793413</v>
      </c>
      <c r="F137" s="66" t="s">
        <v>0</v>
      </c>
      <c r="G137" s="64">
        <f>SUM(G37:G136)</f>
        <v>1584.5156583837065</v>
      </c>
      <c r="H137" s="64">
        <f>SUM(H37:H136)</f>
        <v>81165.96116351725</v>
      </c>
      <c r="I137" s="65" t="s">
        <v>8</v>
      </c>
    </row>
    <row r="138" spans="1:9" ht="13.5" thickBot="1">
      <c r="A138" s="10"/>
      <c r="B138" s="51" t="s">
        <v>95</v>
      </c>
      <c r="C138" s="50"/>
      <c r="D138" s="52" t="s">
        <v>96</v>
      </c>
      <c r="E138" s="60"/>
      <c r="G138" s="51" t="s">
        <v>97</v>
      </c>
      <c r="H138" s="51" t="s">
        <v>98</v>
      </c>
      <c r="I138" s="10"/>
    </row>
  </sheetData>
  <mergeCells count="2">
    <mergeCell ref="B34:D34"/>
    <mergeCell ref="G34:H35"/>
  </mergeCells>
  <printOptions/>
  <pageMargins left="0.75" right="0.75" top="1" bottom="1" header="0.5" footer="0.5"/>
  <pageSetup horizontalDpi="600" verticalDpi="600" orientation="portrait" paperSize="9" r:id="rId4"/>
  <headerFooter alignWithMargins="0">
    <oddHeader>&amp;LЗадача с двумя емкостями. Модель.&amp;R&amp;P</oddHeader>
  </headerFooter>
  <rowBreaks count="1" manualBreakCount="1">
    <brk id="13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K135"/>
  <sheetViews>
    <sheetView workbookViewId="0" topLeftCell="A2">
      <selection activeCell="A1" sqref="A1"/>
    </sheetView>
  </sheetViews>
  <sheetFormatPr defaultColWidth="9.00390625" defaultRowHeight="12.75"/>
  <cols>
    <col min="1" max="1" width="3.875" style="0" customWidth="1"/>
    <col min="2" max="2" width="6.25390625" style="0" customWidth="1"/>
    <col min="3" max="3" width="10.50390625" style="0" customWidth="1"/>
    <col min="4" max="4" width="11.50390625" style="2" customWidth="1"/>
    <col min="5" max="5" width="9.50390625" style="6" bestFit="1" customWidth="1"/>
    <col min="6" max="6" width="8.875" style="23" customWidth="1"/>
    <col min="7" max="7" width="8.50390625" style="0" customWidth="1"/>
    <col min="8" max="8" width="10.25390625" style="0" customWidth="1"/>
    <col min="9" max="9" width="17.625" style="0" customWidth="1"/>
    <col min="10" max="10" width="3.50390625" style="0" customWidth="1"/>
    <col min="11" max="11" width="3.125" style="0" customWidth="1"/>
  </cols>
  <sheetData>
    <row r="1" spans="7:9" ht="12" customHeight="1" hidden="1">
      <c r="G1" t="s">
        <v>4</v>
      </c>
      <c r="H1" t="s">
        <v>54</v>
      </c>
      <c r="I1" t="s">
        <v>329</v>
      </c>
    </row>
    <row r="2" spans="3:6" s="1" customFormat="1" ht="12.75">
      <c r="C2" s="1" t="s">
        <v>166</v>
      </c>
      <c r="D2" s="168"/>
      <c r="E2" s="169"/>
      <c r="F2" s="170"/>
    </row>
    <row r="3" spans="2:4" ht="12.75">
      <c r="B3" s="37" t="s">
        <v>66</v>
      </c>
      <c r="C3" s="188">
        <v>0.5</v>
      </c>
      <c r="D3" s="2" t="s">
        <v>101</v>
      </c>
    </row>
    <row r="4" spans="2:4" ht="12.75">
      <c r="B4" s="115" t="s">
        <v>179</v>
      </c>
      <c r="C4" s="90">
        <v>0.45</v>
      </c>
      <c r="D4" s="2" t="s">
        <v>182</v>
      </c>
    </row>
    <row r="5" spans="2:4" ht="12.75">
      <c r="B5" s="115" t="s">
        <v>178</v>
      </c>
      <c r="C5" s="53">
        <v>0.8</v>
      </c>
      <c r="D5" s="2" t="s">
        <v>183</v>
      </c>
    </row>
    <row r="6" spans="2:8" ht="12.75">
      <c r="B6" s="37" t="s">
        <v>1</v>
      </c>
      <c r="C6" s="188">
        <f>0.24</f>
        <v>0.24</v>
      </c>
      <c r="D6" s="56" t="s">
        <v>2</v>
      </c>
      <c r="E6" s="57" t="s">
        <v>102</v>
      </c>
      <c r="F6" s="58"/>
      <c r="G6" s="59"/>
      <c r="H6" s="59"/>
    </row>
    <row r="7" spans="2:8" ht="12.75">
      <c r="B7" s="37" t="s">
        <v>67</v>
      </c>
      <c r="C7" s="91">
        <f>E91</f>
        <v>0.27250869459694427</v>
      </c>
      <c r="D7" s="56" t="s">
        <v>69</v>
      </c>
      <c r="E7" s="57"/>
      <c r="F7" s="58"/>
      <c r="G7" s="59"/>
      <c r="H7" s="59"/>
    </row>
    <row r="8" spans="2:8" ht="12.75">
      <c r="B8" s="37" t="s">
        <v>68</v>
      </c>
      <c r="C8" s="91">
        <f>E85</f>
        <v>0.3504031245836149</v>
      </c>
      <c r="D8" s="56" t="s">
        <v>131</v>
      </c>
      <c r="E8" s="57"/>
      <c r="F8" s="58"/>
      <c r="G8" s="59"/>
      <c r="H8" s="59"/>
    </row>
    <row r="9" spans="2:8" ht="12.75">
      <c r="B9" s="37" t="s">
        <v>74</v>
      </c>
      <c r="C9" s="91">
        <f>E124</f>
        <v>0.2704588035314443</v>
      </c>
      <c r="D9" s="56" t="s">
        <v>132</v>
      </c>
      <c r="E9" s="57"/>
      <c r="F9" s="58"/>
      <c r="G9" s="59"/>
      <c r="H9" s="59"/>
    </row>
    <row r="10" spans="2:4" ht="12.75">
      <c r="B10" s="92" t="s">
        <v>0</v>
      </c>
      <c r="C10" s="93">
        <f>D23</f>
        <v>0.30524036912588604</v>
      </c>
      <c r="D10" s="2" t="s">
        <v>84</v>
      </c>
    </row>
    <row r="11" spans="2:8" ht="12.75">
      <c r="B11" s="37" t="s">
        <v>19</v>
      </c>
      <c r="C11" s="94">
        <f>B132*C6/D132</f>
        <v>0.038216346445334635</v>
      </c>
      <c r="D11" s="56" t="s">
        <v>6</v>
      </c>
      <c r="E11" s="57" t="s">
        <v>99</v>
      </c>
      <c r="F11" s="58"/>
      <c r="G11" s="59"/>
      <c r="H11" s="59"/>
    </row>
    <row r="12" spans="2:8" ht="12.75">
      <c r="B12" s="37" t="s">
        <v>19</v>
      </c>
      <c r="C12" s="94">
        <f>G132/D132</f>
        <v>0.04852487091519112</v>
      </c>
      <c r="D12" s="56" t="s">
        <v>7</v>
      </c>
      <c r="E12" s="57" t="s">
        <v>100</v>
      </c>
      <c r="F12" s="58"/>
      <c r="G12" s="59"/>
      <c r="H12" s="59"/>
    </row>
    <row r="13" spans="2:8" ht="13.5" thickBot="1">
      <c r="B13" s="67"/>
      <c r="C13" s="68"/>
      <c r="D13" s="56"/>
      <c r="E13" s="57"/>
      <c r="F13" s="58"/>
      <c r="G13" s="59"/>
      <c r="H13" s="59"/>
    </row>
    <row r="14" spans="2:9" ht="12.75">
      <c r="B14" s="76"/>
      <c r="C14" s="77" t="s">
        <v>330</v>
      </c>
      <c r="D14" s="77"/>
      <c r="E14" s="77"/>
      <c r="F14" s="77"/>
      <c r="G14" s="77"/>
      <c r="H14" s="77"/>
      <c r="I14" s="78"/>
    </row>
    <row r="15" spans="2:9" ht="12.75">
      <c r="B15" s="108" t="s">
        <v>81</v>
      </c>
      <c r="C15" s="86" t="s">
        <v>133</v>
      </c>
      <c r="D15" s="87"/>
      <c r="E15" s="87" t="s">
        <v>129</v>
      </c>
      <c r="F15" s="87"/>
      <c r="G15" s="87"/>
      <c r="H15" s="87"/>
      <c r="I15" s="109"/>
    </row>
    <row r="16" spans="2:9" ht="12.75">
      <c r="B16" s="79"/>
      <c r="C16" s="59" t="s">
        <v>0</v>
      </c>
      <c r="D16" s="81">
        <f>AVERAGE(C$7,C$8,C$9)</f>
        <v>0.2977902075706678</v>
      </c>
      <c r="E16" s="59" t="s">
        <v>71</v>
      </c>
      <c r="F16" s="59"/>
      <c r="G16" s="59"/>
      <c r="H16" s="59"/>
      <c r="I16" s="80"/>
    </row>
    <row r="17" spans="2:9" ht="12.75">
      <c r="B17" s="79"/>
      <c r="C17" s="59" t="s">
        <v>72</v>
      </c>
      <c r="D17" s="81">
        <f>STDEVP(C$7,C$8,C$9)</f>
        <v>0.03721236166297002</v>
      </c>
      <c r="E17" s="59" t="s">
        <v>122</v>
      </c>
      <c r="F17" s="59"/>
      <c r="G17" s="59"/>
      <c r="H17" s="59"/>
      <c r="I17" s="80"/>
    </row>
    <row r="18" spans="2:9" ht="12.75">
      <c r="B18" s="79"/>
      <c r="C18" s="121" t="s">
        <v>158</v>
      </c>
      <c r="D18" s="68">
        <f>D17/D16</f>
        <v>0.12496167005135402</v>
      </c>
      <c r="E18" s="121" t="s">
        <v>123</v>
      </c>
      <c r="F18" s="121"/>
      <c r="G18" s="121"/>
      <c r="H18" s="121" t="s">
        <v>153</v>
      </c>
      <c r="I18" s="171" t="s">
        <v>155</v>
      </c>
    </row>
    <row r="19" spans="2:9" ht="12.75">
      <c r="B19" s="79"/>
      <c r="C19" s="121" t="s">
        <v>125</v>
      </c>
      <c r="D19" s="81">
        <f>D16-3*D17</f>
        <v>0.18615312258175776</v>
      </c>
      <c r="E19" s="59"/>
      <c r="F19" s="59"/>
      <c r="G19" s="59"/>
      <c r="H19" s="59"/>
      <c r="I19" s="80"/>
    </row>
    <row r="20" spans="2:9" ht="13.5" thickBot="1">
      <c r="B20" s="79"/>
      <c r="C20" s="59" t="s">
        <v>126</v>
      </c>
      <c r="D20" s="81">
        <f>D16+3*D17</f>
        <v>0.4094272925595779</v>
      </c>
      <c r="E20" s="59"/>
      <c r="F20" s="59"/>
      <c r="G20" s="59"/>
      <c r="H20" s="59"/>
      <c r="I20" s="80"/>
    </row>
    <row r="21" spans="2:9" ht="12.75">
      <c r="B21" s="174" t="s">
        <v>76</v>
      </c>
      <c r="C21" s="175" t="s">
        <v>127</v>
      </c>
      <c r="D21" s="175"/>
      <c r="E21" s="175"/>
      <c r="F21" s="175"/>
      <c r="G21" s="175"/>
      <c r="H21" s="175"/>
      <c r="I21" s="176"/>
    </row>
    <row r="22" spans="2:9" ht="12.75">
      <c r="B22" s="177"/>
      <c r="C22" s="182" t="s">
        <v>135</v>
      </c>
      <c r="D22" s="121"/>
      <c r="E22" s="121"/>
      <c r="F22" s="178"/>
      <c r="G22" s="121"/>
      <c r="H22" s="121"/>
      <c r="I22" s="171"/>
    </row>
    <row r="23" spans="2:9" ht="12.75">
      <c r="B23" s="177"/>
      <c r="C23" s="121" t="s">
        <v>0</v>
      </c>
      <c r="D23" s="68">
        <f>AVERAGE(C$7,C$8,C$9,E$106,E$108,E$118,E$122,E$127,E$130)</f>
        <v>0.30524036912588604</v>
      </c>
      <c r="E23" s="121" t="s">
        <v>71</v>
      </c>
      <c r="F23" s="121"/>
      <c r="G23" s="121"/>
      <c r="H23" s="121"/>
      <c r="I23" s="171"/>
    </row>
    <row r="24" spans="2:9" ht="12.75">
      <c r="B24" s="177"/>
      <c r="C24" s="121" t="s">
        <v>72</v>
      </c>
      <c r="D24" s="68">
        <f>STDEVP(C$7,C$8,C$9,E$106,E$108,E$118,E$122,E$127,E$130)</f>
        <v>0.028191811917879565</v>
      </c>
      <c r="E24" s="121" t="s">
        <v>122</v>
      </c>
      <c r="F24" s="121"/>
      <c r="G24" s="121"/>
      <c r="H24" s="121"/>
      <c r="I24" s="171"/>
    </row>
    <row r="25" spans="2:11" ht="12.75">
      <c r="B25" s="177"/>
      <c r="C25" s="121" t="s">
        <v>158</v>
      </c>
      <c r="D25" s="68">
        <f>D24/D23</f>
        <v>0.09235938220954257</v>
      </c>
      <c r="E25" s="121" t="s">
        <v>123</v>
      </c>
      <c r="F25" s="121"/>
      <c r="G25" s="121"/>
      <c r="H25" s="121" t="s">
        <v>153</v>
      </c>
      <c r="I25" s="171" t="s">
        <v>155</v>
      </c>
      <c r="J25" s="69"/>
      <c r="K25" s="69"/>
    </row>
    <row r="26" spans="2:9" ht="12.75">
      <c r="B26" s="177"/>
      <c r="C26" s="121" t="s">
        <v>125</v>
      </c>
      <c r="D26" s="68">
        <f>D23-3*D24</f>
        <v>0.22066493337224735</v>
      </c>
      <c r="E26" s="121"/>
      <c r="F26" s="121"/>
      <c r="G26" s="121"/>
      <c r="H26" s="121"/>
      <c r="I26" s="171"/>
    </row>
    <row r="27" spans="2:9" ht="13.5" thickBot="1">
      <c r="B27" s="179"/>
      <c r="C27" s="165" t="s">
        <v>126</v>
      </c>
      <c r="D27" s="180">
        <f>D23+3*D24</f>
        <v>0.3898158048795247</v>
      </c>
      <c r="E27" s="165"/>
      <c r="F27" s="165"/>
      <c r="G27" s="165"/>
      <c r="H27" s="165"/>
      <c r="I27" s="181"/>
    </row>
    <row r="28" spans="2:8" ht="15" customHeight="1">
      <c r="B28" s="67"/>
      <c r="C28" s="68"/>
      <c r="D28" s="56"/>
      <c r="E28" s="57"/>
      <c r="F28" s="58"/>
      <c r="G28" s="59"/>
      <c r="H28" s="59"/>
    </row>
    <row r="29" spans="1:10" ht="24.75" customHeight="1">
      <c r="A29" s="115"/>
      <c r="B29" s="699" t="s">
        <v>87</v>
      </c>
      <c r="C29" s="699"/>
      <c r="D29" s="699"/>
      <c r="E29" s="7"/>
      <c r="F29" s="117"/>
      <c r="G29" s="698" t="s">
        <v>88</v>
      </c>
      <c r="H29" s="698"/>
      <c r="I29" s="691" t="s">
        <v>29</v>
      </c>
      <c r="J29" t="s">
        <v>138</v>
      </c>
    </row>
    <row r="30" spans="1:9" ht="12.75">
      <c r="A30" s="115"/>
      <c r="B30" s="116"/>
      <c r="C30" s="115"/>
      <c r="D30" s="34" t="s">
        <v>94</v>
      </c>
      <c r="E30" s="7"/>
      <c r="F30" s="118" t="s">
        <v>3</v>
      </c>
      <c r="G30" s="698"/>
      <c r="H30" s="698"/>
      <c r="I30" s="692"/>
    </row>
    <row r="31" spans="1:11" ht="12.75">
      <c r="A31" s="95" t="s">
        <v>18</v>
      </c>
      <c r="B31" s="96" t="s">
        <v>91</v>
      </c>
      <c r="C31" s="97" t="s">
        <v>90</v>
      </c>
      <c r="D31" s="98" t="s">
        <v>92</v>
      </c>
      <c r="E31" s="99" t="s">
        <v>93</v>
      </c>
      <c r="F31" s="25"/>
      <c r="G31" s="36" t="s">
        <v>89</v>
      </c>
      <c r="H31" s="448" t="s">
        <v>90</v>
      </c>
      <c r="I31" s="35"/>
      <c r="J31" t="s">
        <v>136</v>
      </c>
      <c r="K31" t="s">
        <v>137</v>
      </c>
    </row>
    <row r="32" spans="1:11" ht="12.75">
      <c r="A32" s="122">
        <v>11</v>
      </c>
      <c r="B32" s="22">
        <f>A32*C$4*ABS(ROUND(COS(A32)*10,0))</f>
        <v>0</v>
      </c>
      <c r="C32" s="11">
        <f>C$5*ROUND(ABS(SIN(A32+5)-1)*1000,0)</f>
        <v>1030.4</v>
      </c>
      <c r="D32" s="124">
        <f>C32+B32*(C$6*(1+C$3*SIN(A32)))</f>
        <v>1030.4</v>
      </c>
      <c r="E32" s="125">
        <f aca="true" t="shared" si="0" ref="E32:E63">IF(B32&gt;0,D32/B32,10000)</f>
        <v>10000</v>
      </c>
      <c r="F32" s="126" t="str">
        <f aca="true" t="shared" si="1" ref="F32:F44">IF(E32=10000,G$1,IF(D32=G32,H$1,I$1))</f>
        <v>R</v>
      </c>
      <c r="G32" s="127">
        <f>B32*C$10</f>
        <v>0</v>
      </c>
      <c r="H32" s="128">
        <f aca="true" t="shared" si="2" ref="H32:H63">D32-G32</f>
        <v>1030.4</v>
      </c>
      <c r="I32" s="123"/>
      <c r="J32" s="157">
        <f>D$26</f>
        <v>0.22066493337224735</v>
      </c>
      <c r="K32" s="157">
        <f>D$27</f>
        <v>0.3898158048795247</v>
      </c>
    </row>
    <row r="33" spans="1:11" ht="12.75">
      <c r="A33" s="122">
        <v>33</v>
      </c>
      <c r="B33" s="22">
        <f aca="true" t="shared" si="3" ref="B33:B96">A33*C$4*ABS(ROUND(COS(A33)*10,0))</f>
        <v>0</v>
      </c>
      <c r="C33" s="11">
        <f aca="true" t="shared" si="4" ref="C33:C84">C$5*ROUND(ABS(SIN(A33+5)-1)*1000,0)</f>
        <v>563.2</v>
      </c>
      <c r="D33" s="124">
        <f aca="true" t="shared" si="5" ref="D33:D96">C33+B33*(C$6*(1+C$3*SIN(A33)))</f>
        <v>563.2</v>
      </c>
      <c r="E33" s="125">
        <f t="shared" si="0"/>
        <v>10000</v>
      </c>
      <c r="F33" s="126" t="str">
        <f t="shared" si="1"/>
        <v>R</v>
      </c>
      <c r="G33" s="127">
        <f aca="true" t="shared" si="6" ref="G33:G97">B33*C$10</f>
        <v>0</v>
      </c>
      <c r="H33" s="128">
        <f t="shared" si="2"/>
        <v>563.2</v>
      </c>
      <c r="I33" s="123"/>
      <c r="J33" s="157">
        <f aca="true" t="shared" si="7" ref="J33:J96">D$26</f>
        <v>0.22066493337224735</v>
      </c>
      <c r="K33" s="157">
        <f aca="true" t="shared" si="8" ref="K33:K96">D$27</f>
        <v>0.3898158048795247</v>
      </c>
    </row>
    <row r="34" spans="1:11" ht="12.75">
      <c r="A34" s="122">
        <v>55</v>
      </c>
      <c r="B34" s="22">
        <f t="shared" si="3"/>
        <v>0</v>
      </c>
      <c r="C34" s="11">
        <f t="shared" si="4"/>
        <v>1044</v>
      </c>
      <c r="D34" s="124">
        <f t="shared" si="5"/>
        <v>1044</v>
      </c>
      <c r="E34" s="125">
        <f t="shared" si="0"/>
        <v>10000</v>
      </c>
      <c r="F34" s="126" t="str">
        <f t="shared" si="1"/>
        <v>R</v>
      </c>
      <c r="G34" s="127">
        <f t="shared" si="6"/>
        <v>0</v>
      </c>
      <c r="H34" s="128">
        <f t="shared" si="2"/>
        <v>1044</v>
      </c>
      <c r="I34" s="123"/>
      <c r="J34" s="157">
        <f t="shared" si="7"/>
        <v>0.22066493337224735</v>
      </c>
      <c r="K34" s="157">
        <f t="shared" si="8"/>
        <v>0.3898158048795247</v>
      </c>
    </row>
    <row r="35" spans="1:11" ht="12.75">
      <c r="A35" s="122">
        <v>77</v>
      </c>
      <c r="B35" s="22">
        <f t="shared" si="3"/>
        <v>0</v>
      </c>
      <c r="C35" s="11">
        <f t="shared" si="4"/>
        <v>549.6</v>
      </c>
      <c r="D35" s="124">
        <f t="shared" si="5"/>
        <v>549.6</v>
      </c>
      <c r="E35" s="125">
        <f t="shared" si="0"/>
        <v>10000</v>
      </c>
      <c r="F35" s="126" t="str">
        <f t="shared" si="1"/>
        <v>R</v>
      </c>
      <c r="G35" s="127">
        <f t="shared" si="6"/>
        <v>0</v>
      </c>
      <c r="H35" s="128">
        <f t="shared" si="2"/>
        <v>549.6</v>
      </c>
      <c r="I35" s="123"/>
      <c r="J35" s="157">
        <f t="shared" si="7"/>
        <v>0.22066493337224735</v>
      </c>
      <c r="K35" s="157">
        <f t="shared" si="8"/>
        <v>0.3898158048795247</v>
      </c>
    </row>
    <row r="36" spans="1:11" ht="12.75">
      <c r="A36" s="122">
        <v>99</v>
      </c>
      <c r="B36" s="22">
        <f t="shared" si="3"/>
        <v>0</v>
      </c>
      <c r="C36" s="11">
        <f t="shared" si="4"/>
        <v>1057.6000000000001</v>
      </c>
      <c r="D36" s="124">
        <f t="shared" si="5"/>
        <v>1057.6000000000001</v>
      </c>
      <c r="E36" s="125">
        <f t="shared" si="0"/>
        <v>10000</v>
      </c>
      <c r="F36" s="126" t="str">
        <f t="shared" si="1"/>
        <v>R</v>
      </c>
      <c r="G36" s="127">
        <f t="shared" si="6"/>
        <v>0</v>
      </c>
      <c r="H36" s="128">
        <f t="shared" si="2"/>
        <v>1057.6000000000001</v>
      </c>
      <c r="I36" s="123"/>
      <c r="J36" s="157">
        <f t="shared" si="7"/>
        <v>0.22066493337224735</v>
      </c>
      <c r="K36" s="157">
        <f t="shared" si="8"/>
        <v>0.3898158048795247</v>
      </c>
    </row>
    <row r="37" spans="1:11" ht="12.75">
      <c r="A37" s="122">
        <v>14</v>
      </c>
      <c r="B37" s="22">
        <v>0</v>
      </c>
      <c r="C37" s="11">
        <f t="shared" si="4"/>
        <v>680</v>
      </c>
      <c r="D37" s="124">
        <f t="shared" si="5"/>
        <v>680</v>
      </c>
      <c r="E37" s="125">
        <f t="shared" si="0"/>
        <v>10000</v>
      </c>
      <c r="F37" s="126" t="str">
        <f t="shared" si="1"/>
        <v>R</v>
      </c>
      <c r="G37" s="127">
        <f t="shared" si="6"/>
        <v>0</v>
      </c>
      <c r="H37" s="128">
        <f t="shared" si="2"/>
        <v>680</v>
      </c>
      <c r="I37" s="123"/>
      <c r="J37" s="157">
        <f t="shared" si="7"/>
        <v>0.22066493337224735</v>
      </c>
      <c r="K37" s="157">
        <f t="shared" si="8"/>
        <v>0.3898158048795247</v>
      </c>
    </row>
    <row r="38" spans="1:11" ht="12.75">
      <c r="A38" s="122">
        <v>30</v>
      </c>
      <c r="B38" s="22">
        <v>0</v>
      </c>
      <c r="C38" s="11">
        <f t="shared" si="4"/>
        <v>1142.4</v>
      </c>
      <c r="D38" s="124">
        <f t="shared" si="5"/>
        <v>1142.4</v>
      </c>
      <c r="E38" s="125">
        <f t="shared" si="0"/>
        <v>10000</v>
      </c>
      <c r="F38" s="126" t="str">
        <f t="shared" si="1"/>
        <v>R</v>
      </c>
      <c r="G38" s="127">
        <f t="shared" si="6"/>
        <v>0</v>
      </c>
      <c r="H38" s="128">
        <f t="shared" si="2"/>
        <v>1142.4</v>
      </c>
      <c r="I38" s="123"/>
      <c r="J38" s="157">
        <f t="shared" si="7"/>
        <v>0.22066493337224735</v>
      </c>
      <c r="K38" s="157">
        <f t="shared" si="8"/>
        <v>0.3898158048795247</v>
      </c>
    </row>
    <row r="39" spans="1:11" ht="12.75">
      <c r="A39" s="122">
        <v>13</v>
      </c>
      <c r="B39" s="22">
        <v>0</v>
      </c>
      <c r="C39" s="11">
        <f t="shared" si="4"/>
        <v>1400.8000000000002</v>
      </c>
      <c r="D39" s="124">
        <f t="shared" si="5"/>
        <v>1400.8000000000002</v>
      </c>
      <c r="E39" s="125">
        <f t="shared" si="0"/>
        <v>10000</v>
      </c>
      <c r="F39" s="126" t="str">
        <f t="shared" si="1"/>
        <v>R</v>
      </c>
      <c r="G39" s="127">
        <f t="shared" si="6"/>
        <v>0</v>
      </c>
      <c r="H39" s="128">
        <f t="shared" si="2"/>
        <v>1400.8000000000002</v>
      </c>
      <c r="I39" s="123"/>
      <c r="J39" s="157">
        <f t="shared" si="7"/>
        <v>0.22066493337224735</v>
      </c>
      <c r="K39" s="157">
        <f t="shared" si="8"/>
        <v>0.3898158048795247</v>
      </c>
    </row>
    <row r="40" spans="1:11" ht="12.75">
      <c r="A40" s="122">
        <v>96</v>
      </c>
      <c r="B40" s="22">
        <v>0</v>
      </c>
      <c r="C40" s="11">
        <f t="shared" si="4"/>
        <v>438.40000000000003</v>
      </c>
      <c r="D40" s="124">
        <f t="shared" si="5"/>
        <v>438.40000000000003</v>
      </c>
      <c r="E40" s="125">
        <f t="shared" si="0"/>
        <v>10000</v>
      </c>
      <c r="F40" s="126" t="str">
        <f t="shared" si="1"/>
        <v>R</v>
      </c>
      <c r="G40" s="127">
        <f t="shared" si="6"/>
        <v>0</v>
      </c>
      <c r="H40" s="128">
        <f t="shared" si="2"/>
        <v>438.40000000000003</v>
      </c>
      <c r="I40" s="123"/>
      <c r="J40" s="157">
        <f t="shared" si="7"/>
        <v>0.22066493337224735</v>
      </c>
      <c r="K40" s="157">
        <f t="shared" si="8"/>
        <v>0.3898158048795247</v>
      </c>
    </row>
    <row r="41" spans="1:11" ht="12.75">
      <c r="A41" s="122">
        <v>37</v>
      </c>
      <c r="B41" s="22">
        <v>0</v>
      </c>
      <c r="C41" s="11">
        <f t="shared" si="4"/>
        <v>1533.6000000000001</v>
      </c>
      <c r="D41" s="124">
        <f t="shared" si="5"/>
        <v>1533.6000000000001</v>
      </c>
      <c r="E41" s="125">
        <f t="shared" si="0"/>
        <v>10000</v>
      </c>
      <c r="F41" s="126" t="str">
        <f t="shared" si="1"/>
        <v>R</v>
      </c>
      <c r="G41" s="127">
        <f t="shared" si="6"/>
        <v>0</v>
      </c>
      <c r="H41" s="128">
        <f t="shared" si="2"/>
        <v>1533.6000000000001</v>
      </c>
      <c r="I41" s="123"/>
      <c r="J41" s="157">
        <f t="shared" si="7"/>
        <v>0.22066493337224735</v>
      </c>
      <c r="K41" s="157">
        <f t="shared" si="8"/>
        <v>0.3898158048795247</v>
      </c>
    </row>
    <row r="42" spans="1:11" ht="12.75">
      <c r="A42" s="122">
        <v>70</v>
      </c>
      <c r="B42" s="22">
        <v>0</v>
      </c>
      <c r="C42" s="11">
        <f t="shared" si="4"/>
        <v>1110.4</v>
      </c>
      <c r="D42" s="124">
        <f t="shared" si="5"/>
        <v>1110.4</v>
      </c>
      <c r="E42" s="125">
        <f t="shared" si="0"/>
        <v>10000</v>
      </c>
      <c r="F42" s="126" t="str">
        <f t="shared" si="1"/>
        <v>R</v>
      </c>
      <c r="G42" s="127">
        <f t="shared" si="6"/>
        <v>0</v>
      </c>
      <c r="H42" s="128">
        <f t="shared" si="2"/>
        <v>1110.4</v>
      </c>
      <c r="I42" s="123"/>
      <c r="J42" s="157">
        <f t="shared" si="7"/>
        <v>0.22066493337224735</v>
      </c>
      <c r="K42" s="157">
        <f t="shared" si="8"/>
        <v>0.3898158048795247</v>
      </c>
    </row>
    <row r="43" spans="1:11" ht="12.75">
      <c r="A43" s="122">
        <v>73</v>
      </c>
      <c r="B43" s="22">
        <v>0</v>
      </c>
      <c r="C43" s="11">
        <f t="shared" si="4"/>
        <v>388.8</v>
      </c>
      <c r="D43" s="124">
        <f t="shared" si="5"/>
        <v>388.8</v>
      </c>
      <c r="E43" s="125">
        <f t="shared" si="0"/>
        <v>10000</v>
      </c>
      <c r="F43" s="126" t="str">
        <f t="shared" si="1"/>
        <v>R</v>
      </c>
      <c r="G43" s="127">
        <f t="shared" si="6"/>
        <v>0</v>
      </c>
      <c r="H43" s="128">
        <f t="shared" si="2"/>
        <v>388.8</v>
      </c>
      <c r="I43" s="123"/>
      <c r="J43" s="157">
        <f t="shared" si="7"/>
        <v>0.22066493337224735</v>
      </c>
      <c r="K43" s="157">
        <f t="shared" si="8"/>
        <v>0.3898158048795247</v>
      </c>
    </row>
    <row r="44" spans="1:11" ht="12.75">
      <c r="A44" s="122">
        <v>81</v>
      </c>
      <c r="B44" s="22">
        <v>0</v>
      </c>
      <c r="C44" s="11">
        <f t="shared" si="4"/>
        <v>1538.4</v>
      </c>
      <c r="D44" s="124">
        <f t="shared" si="5"/>
        <v>1538.4</v>
      </c>
      <c r="E44" s="125">
        <f t="shared" si="0"/>
        <v>10000</v>
      </c>
      <c r="F44" s="126" t="str">
        <f t="shared" si="1"/>
        <v>R</v>
      </c>
      <c r="G44" s="127">
        <f t="shared" si="6"/>
        <v>0</v>
      </c>
      <c r="H44" s="128">
        <f t="shared" si="2"/>
        <v>1538.4</v>
      </c>
      <c r="I44" s="123"/>
      <c r="J44" s="157">
        <f t="shared" si="7"/>
        <v>0.22066493337224735</v>
      </c>
      <c r="K44" s="157">
        <f t="shared" si="8"/>
        <v>0.3898158048795247</v>
      </c>
    </row>
    <row r="45" spans="1:11" ht="12.75">
      <c r="A45" s="122">
        <v>98</v>
      </c>
      <c r="B45" s="22">
        <v>0</v>
      </c>
      <c r="C45" s="11">
        <f t="shared" si="4"/>
        <v>301.6</v>
      </c>
      <c r="D45" s="124">
        <f t="shared" si="5"/>
        <v>301.6</v>
      </c>
      <c r="E45" s="125">
        <f t="shared" si="0"/>
        <v>10000</v>
      </c>
      <c r="F45" s="126" t="str">
        <f>IF(E45=10000,G$1,IF(D45=G45,H$1,I$1))</f>
        <v>R</v>
      </c>
      <c r="G45" s="127">
        <f t="shared" si="6"/>
        <v>0</v>
      </c>
      <c r="H45" s="128">
        <f t="shared" si="2"/>
        <v>301.6</v>
      </c>
      <c r="I45" s="123"/>
      <c r="J45" s="157">
        <f t="shared" si="7"/>
        <v>0.22066493337224735</v>
      </c>
      <c r="K45" s="157">
        <f t="shared" si="8"/>
        <v>0.3898158048795247</v>
      </c>
    </row>
    <row r="46" spans="1:11" s="69" customFormat="1" ht="12.75">
      <c r="A46" s="122">
        <v>1</v>
      </c>
      <c r="B46" s="22">
        <f t="shared" si="3"/>
        <v>2.25</v>
      </c>
      <c r="C46" s="11">
        <f t="shared" si="4"/>
        <v>1023.2</v>
      </c>
      <c r="D46" s="124">
        <f t="shared" si="5"/>
        <v>1023.9671971658981</v>
      </c>
      <c r="E46" s="91">
        <f t="shared" si="0"/>
        <v>455.09653207373253</v>
      </c>
      <c r="F46" s="129" t="str">
        <f aca="true" t="shared" si="9" ref="F46:F109">IF(E46=10000,G$1,IF(D46=G46,H$1,I$1))</f>
        <v>RuN</v>
      </c>
      <c r="G46" s="127">
        <f t="shared" si="6"/>
        <v>0.6867908305332435</v>
      </c>
      <c r="H46" s="128">
        <f t="shared" si="2"/>
        <v>1023.2804063353649</v>
      </c>
      <c r="I46" s="123"/>
      <c r="J46" s="157">
        <f t="shared" si="7"/>
        <v>0.22066493337224735</v>
      </c>
      <c r="K46" s="157">
        <f t="shared" si="8"/>
        <v>0.3898158048795247</v>
      </c>
    </row>
    <row r="47" spans="1:11" ht="12.75">
      <c r="A47" s="122">
        <v>2</v>
      </c>
      <c r="B47" s="22">
        <f t="shared" si="3"/>
        <v>3.6</v>
      </c>
      <c r="C47" s="11">
        <f t="shared" si="4"/>
        <v>274.40000000000003</v>
      </c>
      <c r="D47" s="124">
        <f t="shared" si="5"/>
        <v>275.65681648838876</v>
      </c>
      <c r="E47" s="91">
        <f t="shared" si="0"/>
        <v>76.57133791344133</v>
      </c>
      <c r="F47" s="129" t="str">
        <f t="shared" si="9"/>
        <v>RuN</v>
      </c>
      <c r="G47" s="127">
        <f t="shared" si="6"/>
        <v>1.0988653288531898</v>
      </c>
      <c r="H47" s="128">
        <f t="shared" si="2"/>
        <v>274.55795115953555</v>
      </c>
      <c r="I47" s="123"/>
      <c r="J47" s="157">
        <f t="shared" si="7"/>
        <v>0.22066493337224735</v>
      </c>
      <c r="K47" s="157">
        <f t="shared" si="8"/>
        <v>0.3898158048795247</v>
      </c>
    </row>
    <row r="48" spans="1:11" ht="12.75">
      <c r="A48" s="122">
        <v>8</v>
      </c>
      <c r="B48" s="22">
        <f t="shared" si="3"/>
        <v>3.6</v>
      </c>
      <c r="C48" s="11">
        <f t="shared" si="4"/>
        <v>464</v>
      </c>
      <c r="D48" s="124">
        <f t="shared" si="5"/>
        <v>465.2914027625413</v>
      </c>
      <c r="E48" s="91">
        <f t="shared" si="0"/>
        <v>129.2476118784837</v>
      </c>
      <c r="F48" s="129" t="str">
        <f t="shared" si="9"/>
        <v>RuN</v>
      </c>
      <c r="G48" s="127">
        <f t="shared" si="6"/>
        <v>1.0988653288531898</v>
      </c>
      <c r="H48" s="128">
        <f t="shared" si="2"/>
        <v>464.1925374336881</v>
      </c>
      <c r="I48" s="123"/>
      <c r="J48" s="157">
        <f t="shared" si="7"/>
        <v>0.22066493337224735</v>
      </c>
      <c r="K48" s="157">
        <f t="shared" si="8"/>
        <v>0.3898158048795247</v>
      </c>
    </row>
    <row r="49" spans="1:11" ht="12.75">
      <c r="A49" s="122">
        <v>5</v>
      </c>
      <c r="B49" s="22">
        <f t="shared" si="3"/>
        <v>6.75</v>
      </c>
      <c r="C49" s="11">
        <f t="shared" si="4"/>
        <v>1235.2</v>
      </c>
      <c r="D49" s="124">
        <f t="shared" si="5"/>
        <v>1236.0432713375228</v>
      </c>
      <c r="E49" s="91">
        <f t="shared" si="0"/>
        <v>183.117521679633</v>
      </c>
      <c r="F49" s="129" t="str">
        <f t="shared" si="9"/>
        <v>RuN</v>
      </c>
      <c r="G49" s="127">
        <f t="shared" si="6"/>
        <v>2.060372491599731</v>
      </c>
      <c r="H49" s="128">
        <f t="shared" si="2"/>
        <v>1233.982898845923</v>
      </c>
      <c r="I49" s="123"/>
      <c r="J49" s="157">
        <f t="shared" si="7"/>
        <v>0.22066493337224735</v>
      </c>
      <c r="K49" s="157">
        <f t="shared" si="8"/>
        <v>0.3898158048795247</v>
      </c>
    </row>
    <row r="50" spans="1:11" ht="12.75">
      <c r="A50" s="122">
        <v>4</v>
      </c>
      <c r="B50" s="22">
        <f t="shared" si="3"/>
        <v>12.6</v>
      </c>
      <c r="C50" s="11">
        <f t="shared" si="4"/>
        <v>470.40000000000003</v>
      </c>
      <c r="D50" s="124">
        <f t="shared" si="5"/>
        <v>472.27971462709445</v>
      </c>
      <c r="E50" s="91">
        <f t="shared" si="0"/>
        <v>37.482517033896386</v>
      </c>
      <c r="F50" s="129" t="str">
        <f t="shared" si="9"/>
        <v>RuN</v>
      </c>
      <c r="G50" s="127">
        <f t="shared" si="6"/>
        <v>3.846028650986164</v>
      </c>
      <c r="H50" s="128">
        <f t="shared" si="2"/>
        <v>468.4336859761083</v>
      </c>
      <c r="I50" s="123"/>
      <c r="J50" s="157">
        <f t="shared" si="7"/>
        <v>0.22066493337224735</v>
      </c>
      <c r="K50" s="157">
        <f t="shared" si="8"/>
        <v>0.3898158048795247</v>
      </c>
    </row>
    <row r="51" spans="1:11" ht="12.75">
      <c r="A51" s="122">
        <v>3</v>
      </c>
      <c r="B51" s="22">
        <f t="shared" si="3"/>
        <v>13.5</v>
      </c>
      <c r="C51" s="11">
        <f t="shared" si="4"/>
        <v>8.8</v>
      </c>
      <c r="D51" s="124">
        <f t="shared" si="5"/>
        <v>12.268614413056985</v>
      </c>
      <c r="E51" s="91">
        <f t="shared" si="0"/>
        <v>0.9087862528190359</v>
      </c>
      <c r="F51" s="129" t="str">
        <f t="shared" si="9"/>
        <v>RuN</v>
      </c>
      <c r="G51" s="127">
        <f t="shared" si="6"/>
        <v>4.120744983199462</v>
      </c>
      <c r="H51" s="128">
        <f t="shared" si="2"/>
        <v>8.147869429857524</v>
      </c>
      <c r="I51" s="123"/>
      <c r="J51" s="157">
        <f t="shared" si="7"/>
        <v>0.22066493337224735</v>
      </c>
      <c r="K51" s="157">
        <f t="shared" si="8"/>
        <v>0.3898158048795247</v>
      </c>
    </row>
    <row r="52" spans="1:11" s="152" customFormat="1" ht="12.75">
      <c r="A52" s="135">
        <v>36</v>
      </c>
      <c r="B52" s="22">
        <f t="shared" si="3"/>
        <v>16.2</v>
      </c>
      <c r="C52" s="11">
        <f t="shared" si="4"/>
        <v>927.2</v>
      </c>
      <c r="D52" s="137">
        <f t="shared" si="5"/>
        <v>929.1599819089066</v>
      </c>
      <c r="E52" s="138">
        <f t="shared" si="0"/>
        <v>57.3555544388214</v>
      </c>
      <c r="F52" s="129" t="str">
        <f t="shared" si="9"/>
        <v>RuN</v>
      </c>
      <c r="G52" s="127">
        <f t="shared" si="6"/>
        <v>4.944893979839353</v>
      </c>
      <c r="H52" s="140">
        <f t="shared" si="2"/>
        <v>924.2150879290673</v>
      </c>
      <c r="I52" s="136"/>
      <c r="J52" s="157">
        <f t="shared" si="7"/>
        <v>0.22066493337224735</v>
      </c>
      <c r="K52" s="157">
        <f t="shared" si="8"/>
        <v>0.3898158048795247</v>
      </c>
    </row>
    <row r="53" spans="1:11" ht="12.75">
      <c r="A53" s="122">
        <v>17</v>
      </c>
      <c r="B53" s="22">
        <f t="shared" si="3"/>
        <v>22.950000000000003</v>
      </c>
      <c r="C53" s="11">
        <f t="shared" si="4"/>
        <v>807.2</v>
      </c>
      <c r="D53" s="124">
        <f t="shared" si="5"/>
        <v>810.0603113073637</v>
      </c>
      <c r="E53" s="91">
        <f t="shared" si="0"/>
        <v>35.296745590734794</v>
      </c>
      <c r="F53" s="129" t="str">
        <f t="shared" si="9"/>
        <v>RuN</v>
      </c>
      <c r="G53" s="127">
        <f t="shared" si="6"/>
        <v>7.005266471439086</v>
      </c>
      <c r="H53" s="128">
        <f t="shared" si="2"/>
        <v>803.0550448359246</v>
      </c>
      <c r="I53" s="123"/>
      <c r="J53" s="157">
        <f t="shared" si="7"/>
        <v>0.22066493337224735</v>
      </c>
      <c r="K53" s="157">
        <f t="shared" si="8"/>
        <v>0.3898158048795247</v>
      </c>
    </row>
    <row r="54" spans="1:11" ht="12.75">
      <c r="A54" s="122">
        <v>7</v>
      </c>
      <c r="B54" s="22">
        <f t="shared" si="3"/>
        <v>25.2</v>
      </c>
      <c r="C54" s="11">
        <f t="shared" si="4"/>
        <v>1229.6000000000001</v>
      </c>
      <c r="D54" s="124">
        <f t="shared" si="5"/>
        <v>1237.6347274745258</v>
      </c>
      <c r="E54" s="91">
        <f t="shared" si="0"/>
        <v>49.112489185497054</v>
      </c>
      <c r="F54" s="129" t="str">
        <f t="shared" si="9"/>
        <v>RuN</v>
      </c>
      <c r="G54" s="127">
        <f t="shared" si="6"/>
        <v>7.692057301972328</v>
      </c>
      <c r="H54" s="128">
        <f t="shared" si="2"/>
        <v>1229.9426701725536</v>
      </c>
      <c r="I54" s="123"/>
      <c r="J54" s="157">
        <f t="shared" si="7"/>
        <v>0.22066493337224735</v>
      </c>
      <c r="K54" s="157">
        <f t="shared" si="8"/>
        <v>0.3898158048795247</v>
      </c>
    </row>
    <row r="55" spans="1:11" ht="12.75">
      <c r="A55" s="122">
        <v>58</v>
      </c>
      <c r="B55" s="22">
        <f t="shared" si="3"/>
        <v>26.1</v>
      </c>
      <c r="C55" s="11">
        <f t="shared" si="4"/>
        <v>666.4000000000001</v>
      </c>
      <c r="D55" s="124">
        <f t="shared" si="5"/>
        <v>675.7736771338009</v>
      </c>
      <c r="E55" s="91">
        <f t="shared" si="0"/>
        <v>25.891711767578578</v>
      </c>
      <c r="F55" s="129" t="str">
        <f t="shared" si="9"/>
        <v>RuN</v>
      </c>
      <c r="G55" s="127">
        <f t="shared" si="6"/>
        <v>7.966773634185626</v>
      </c>
      <c r="H55" s="128">
        <f t="shared" si="2"/>
        <v>667.8069034996153</v>
      </c>
      <c r="I55" s="123"/>
      <c r="J55" s="157">
        <f t="shared" si="7"/>
        <v>0.22066493337224735</v>
      </c>
      <c r="K55" s="157">
        <f t="shared" si="8"/>
        <v>0.3898158048795247</v>
      </c>
    </row>
    <row r="56" spans="1:11" ht="12.75">
      <c r="A56" s="122">
        <v>6</v>
      </c>
      <c r="B56" s="22">
        <f t="shared" si="3"/>
        <v>27</v>
      </c>
      <c r="C56" s="11">
        <f t="shared" si="4"/>
        <v>1600</v>
      </c>
      <c r="D56" s="124">
        <f t="shared" si="5"/>
        <v>1605.5746937858355</v>
      </c>
      <c r="E56" s="91">
        <f t="shared" si="0"/>
        <v>59.465729399475386</v>
      </c>
      <c r="F56" s="129" t="str">
        <f t="shared" si="9"/>
        <v>RuN</v>
      </c>
      <c r="G56" s="127">
        <f t="shared" si="6"/>
        <v>8.241489966398923</v>
      </c>
      <c r="H56" s="128">
        <f t="shared" si="2"/>
        <v>1597.3332038194367</v>
      </c>
      <c r="I56" s="123"/>
      <c r="J56" s="157">
        <f t="shared" si="7"/>
        <v>0.22066493337224735</v>
      </c>
      <c r="K56" s="157">
        <f t="shared" si="8"/>
        <v>0.3898158048795247</v>
      </c>
    </row>
    <row r="57" spans="1:11" ht="12.75">
      <c r="A57" s="122">
        <v>10</v>
      </c>
      <c r="B57" s="22">
        <f t="shared" si="3"/>
        <v>36</v>
      </c>
      <c r="C57" s="11">
        <f t="shared" si="4"/>
        <v>280</v>
      </c>
      <c r="D57" s="124">
        <f t="shared" si="5"/>
        <v>286.28982880095793</v>
      </c>
      <c r="E57" s="91">
        <f t="shared" si="0"/>
        <v>7.952495244471054</v>
      </c>
      <c r="F57" s="129" t="str">
        <f t="shared" si="9"/>
        <v>RuN</v>
      </c>
      <c r="G57" s="127">
        <f t="shared" si="6"/>
        <v>10.988653288531896</v>
      </c>
      <c r="H57" s="128">
        <f t="shared" si="2"/>
        <v>275.301175512426</v>
      </c>
      <c r="I57" s="123"/>
      <c r="J57" s="157">
        <f t="shared" si="7"/>
        <v>0.22066493337224735</v>
      </c>
      <c r="K57" s="157">
        <f t="shared" si="8"/>
        <v>0.3898158048795247</v>
      </c>
    </row>
    <row r="58" spans="1:11" ht="12.75">
      <c r="A58" s="122">
        <v>20</v>
      </c>
      <c r="B58" s="22">
        <f t="shared" si="3"/>
        <v>36</v>
      </c>
      <c r="C58" s="11">
        <f t="shared" si="4"/>
        <v>905.6</v>
      </c>
      <c r="D58" s="124">
        <f t="shared" si="5"/>
        <v>918.1839234831434</v>
      </c>
      <c r="E58" s="91">
        <f t="shared" si="0"/>
        <v>25.505108985642874</v>
      </c>
      <c r="F58" s="129" t="str">
        <f t="shared" si="9"/>
        <v>RuN</v>
      </c>
      <c r="G58" s="127">
        <f t="shared" si="6"/>
        <v>10.988653288531896</v>
      </c>
      <c r="H58" s="128">
        <f t="shared" si="2"/>
        <v>907.1952701946116</v>
      </c>
      <c r="I58" s="123"/>
      <c r="J58" s="157">
        <f t="shared" si="7"/>
        <v>0.22066493337224735</v>
      </c>
      <c r="K58" s="157">
        <f t="shared" si="8"/>
        <v>0.3898158048795247</v>
      </c>
    </row>
    <row r="59" spans="1:11" ht="12.75">
      <c r="A59" s="122">
        <v>80</v>
      </c>
      <c r="B59" s="22">
        <f t="shared" si="3"/>
        <v>36</v>
      </c>
      <c r="C59" s="11">
        <f t="shared" si="4"/>
        <v>940.8000000000001</v>
      </c>
      <c r="D59" s="124">
        <f t="shared" si="5"/>
        <v>945.1464010150511</v>
      </c>
      <c r="E59" s="91">
        <f t="shared" si="0"/>
        <v>26.25406669486253</v>
      </c>
      <c r="F59" s="129" t="str">
        <f t="shared" si="9"/>
        <v>RuN</v>
      </c>
      <c r="G59" s="127">
        <f t="shared" si="6"/>
        <v>10.988653288531896</v>
      </c>
      <c r="H59" s="128">
        <f t="shared" si="2"/>
        <v>934.1577477265192</v>
      </c>
      <c r="I59" s="123"/>
      <c r="J59" s="157">
        <f t="shared" si="7"/>
        <v>0.22066493337224735</v>
      </c>
      <c r="K59" s="157">
        <f t="shared" si="8"/>
        <v>0.3898158048795247</v>
      </c>
    </row>
    <row r="60" spans="1:11" ht="12.75">
      <c r="A60" s="122">
        <v>9</v>
      </c>
      <c r="B60" s="22">
        <f t="shared" si="3"/>
        <v>36.449999999999996</v>
      </c>
      <c r="C60" s="11">
        <f t="shared" si="4"/>
        <v>7.2</v>
      </c>
      <c r="D60" s="124">
        <f t="shared" si="5"/>
        <v>17.750606254447444</v>
      </c>
      <c r="E60" s="91">
        <f t="shared" si="0"/>
        <v>0.4869850824265417</v>
      </c>
      <c r="F60" s="129" t="str">
        <f t="shared" si="9"/>
        <v>RuN</v>
      </c>
      <c r="G60" s="127">
        <f t="shared" si="6"/>
        <v>11.126011454638544</v>
      </c>
      <c r="H60" s="128">
        <f t="shared" si="2"/>
        <v>6.6245947998089</v>
      </c>
      <c r="I60" s="123"/>
      <c r="J60" s="157">
        <f t="shared" si="7"/>
        <v>0.22066493337224735</v>
      </c>
      <c r="K60" s="157">
        <f t="shared" si="8"/>
        <v>0.3898158048795247</v>
      </c>
    </row>
    <row r="61" spans="1:11" ht="12.75">
      <c r="A61" s="122">
        <v>27</v>
      </c>
      <c r="B61" s="22">
        <f t="shared" si="3"/>
        <v>36.45</v>
      </c>
      <c r="C61" s="11">
        <f t="shared" si="4"/>
        <v>359.20000000000005</v>
      </c>
      <c r="D61" s="124">
        <f t="shared" si="5"/>
        <v>372.13118831084137</v>
      </c>
      <c r="E61" s="91">
        <f t="shared" si="0"/>
        <v>10.20936044748536</v>
      </c>
      <c r="F61" s="129" t="str">
        <f t="shared" si="9"/>
        <v>RuN</v>
      </c>
      <c r="G61" s="127">
        <f t="shared" si="6"/>
        <v>11.126011454638547</v>
      </c>
      <c r="H61" s="128">
        <f t="shared" si="2"/>
        <v>361.0051768562028</v>
      </c>
      <c r="I61" s="123"/>
      <c r="J61" s="157">
        <f t="shared" si="7"/>
        <v>0.22066493337224735</v>
      </c>
      <c r="K61" s="157">
        <f t="shared" si="8"/>
        <v>0.3898158048795247</v>
      </c>
    </row>
    <row r="62" spans="1:11" ht="12.75">
      <c r="A62" s="122">
        <v>12</v>
      </c>
      <c r="B62" s="22">
        <f t="shared" si="3"/>
        <v>43.2</v>
      </c>
      <c r="C62" s="11">
        <f t="shared" si="4"/>
        <v>1568.8000000000002</v>
      </c>
      <c r="D62" s="124">
        <f t="shared" si="5"/>
        <v>1576.3864059930859</v>
      </c>
      <c r="E62" s="91">
        <f t="shared" si="0"/>
        <v>36.49042606465476</v>
      </c>
      <c r="F62" s="129" t="str">
        <f t="shared" si="9"/>
        <v>RuN</v>
      </c>
      <c r="G62" s="127">
        <f t="shared" si="6"/>
        <v>13.186383946238278</v>
      </c>
      <c r="H62" s="128">
        <f t="shared" si="2"/>
        <v>1563.2000220468476</v>
      </c>
      <c r="I62" s="123"/>
      <c r="J62" s="157">
        <f t="shared" si="7"/>
        <v>0.22066493337224735</v>
      </c>
      <c r="K62" s="157">
        <f t="shared" si="8"/>
        <v>0.3898158048795247</v>
      </c>
    </row>
    <row r="63" spans="1:11" ht="12.75">
      <c r="A63" s="122">
        <v>24</v>
      </c>
      <c r="B63" s="22">
        <f t="shared" si="3"/>
        <v>43.2</v>
      </c>
      <c r="C63" s="11">
        <f t="shared" si="4"/>
        <v>1331.2</v>
      </c>
      <c r="D63" s="124">
        <f t="shared" si="5"/>
        <v>1336.8734817713578</v>
      </c>
      <c r="E63" s="91">
        <f t="shared" si="0"/>
        <v>30.94614541137402</v>
      </c>
      <c r="F63" s="129" t="str">
        <f t="shared" si="9"/>
        <v>RuN</v>
      </c>
      <c r="G63" s="127">
        <f t="shared" si="6"/>
        <v>13.186383946238278</v>
      </c>
      <c r="H63" s="128">
        <f t="shared" si="2"/>
        <v>1323.6870978251195</v>
      </c>
      <c r="I63" s="123"/>
      <c r="J63" s="157">
        <f t="shared" si="7"/>
        <v>0.22066493337224735</v>
      </c>
      <c r="K63" s="157">
        <f t="shared" si="8"/>
        <v>0.3898158048795247</v>
      </c>
    </row>
    <row r="64" spans="1:11" ht="12.75">
      <c r="A64" s="122">
        <v>52</v>
      </c>
      <c r="B64" s="22">
        <f t="shared" si="3"/>
        <v>46.800000000000004</v>
      </c>
      <c r="C64" s="11">
        <f t="shared" si="4"/>
        <v>451.20000000000005</v>
      </c>
      <c r="D64" s="124">
        <f t="shared" si="5"/>
        <v>467.9729005568994</v>
      </c>
      <c r="E64" s="91">
        <f aca="true" t="shared" si="10" ref="E64:E95">IF(B64&gt;0,D64/B64,10000)</f>
        <v>9.9994209520705</v>
      </c>
      <c r="F64" s="129" t="str">
        <f t="shared" si="9"/>
        <v>RuN</v>
      </c>
      <c r="G64" s="127">
        <f t="shared" si="6"/>
        <v>14.285249275091468</v>
      </c>
      <c r="H64" s="128">
        <f aca="true" t="shared" si="11" ref="H64:H95">D64-G64</f>
        <v>453.6876512818079</v>
      </c>
      <c r="I64" s="123"/>
      <c r="J64" s="157">
        <f t="shared" si="7"/>
        <v>0.22066493337224735</v>
      </c>
      <c r="K64" s="157">
        <f t="shared" si="8"/>
        <v>0.3898158048795247</v>
      </c>
    </row>
    <row r="65" spans="1:11" ht="12.75">
      <c r="A65" s="122">
        <v>21</v>
      </c>
      <c r="B65" s="22">
        <f t="shared" si="3"/>
        <v>47.25000000000001</v>
      </c>
      <c r="C65" s="11">
        <f t="shared" si="4"/>
        <v>189.60000000000002</v>
      </c>
      <c r="D65" s="124">
        <f t="shared" si="5"/>
        <v>205.68383747049947</v>
      </c>
      <c r="E65" s="91">
        <f t="shared" si="10"/>
        <v>4.353097089322739</v>
      </c>
      <c r="F65" s="129" t="str">
        <f t="shared" si="9"/>
        <v>RuN</v>
      </c>
      <c r="G65" s="127">
        <f t="shared" si="6"/>
        <v>14.422607441198117</v>
      </c>
      <c r="H65" s="128">
        <f t="shared" si="11"/>
        <v>191.26123002930134</v>
      </c>
      <c r="I65" s="123"/>
      <c r="J65" s="157">
        <f t="shared" si="7"/>
        <v>0.22066493337224735</v>
      </c>
      <c r="K65" s="157">
        <f t="shared" si="8"/>
        <v>0.3898158048795247</v>
      </c>
    </row>
    <row r="66" spans="1:11" ht="12.75">
      <c r="A66" s="122">
        <v>23</v>
      </c>
      <c r="B66" s="22">
        <f t="shared" si="3"/>
        <v>51.75</v>
      </c>
      <c r="C66" s="11">
        <f t="shared" si="4"/>
        <v>583.2</v>
      </c>
      <c r="D66" s="124">
        <f t="shared" si="5"/>
        <v>590.3649712900723</v>
      </c>
      <c r="E66" s="91">
        <f t="shared" si="10"/>
        <v>11.408018768890285</v>
      </c>
      <c r="F66" s="129" t="str">
        <f t="shared" si="9"/>
        <v>RuN</v>
      </c>
      <c r="G66" s="127">
        <f t="shared" si="6"/>
        <v>15.796189102264602</v>
      </c>
      <c r="H66" s="128">
        <f t="shared" si="11"/>
        <v>574.5687821878076</v>
      </c>
      <c r="I66" s="123"/>
      <c r="J66" s="157">
        <f t="shared" si="7"/>
        <v>0.22066493337224735</v>
      </c>
      <c r="K66" s="157">
        <f t="shared" si="8"/>
        <v>0.3898158048795247</v>
      </c>
    </row>
    <row r="67" spans="1:11" ht="12.75">
      <c r="A67" s="122">
        <v>39</v>
      </c>
      <c r="B67" s="22">
        <f t="shared" si="3"/>
        <v>52.650000000000006</v>
      </c>
      <c r="C67" s="11">
        <f t="shared" si="4"/>
        <v>785.6</v>
      </c>
      <c r="D67" s="124">
        <f t="shared" si="5"/>
        <v>804.3252592505429</v>
      </c>
      <c r="E67" s="91">
        <f t="shared" si="10"/>
        <v>15.276833034198344</v>
      </c>
      <c r="F67" s="129" t="str">
        <f t="shared" si="9"/>
        <v>RuN</v>
      </c>
      <c r="G67" s="127">
        <f t="shared" si="6"/>
        <v>16.0709054344779</v>
      </c>
      <c r="H67" s="128">
        <f t="shared" si="11"/>
        <v>788.254353816065</v>
      </c>
      <c r="I67" s="123"/>
      <c r="J67" s="157">
        <f t="shared" si="7"/>
        <v>0.22066493337224735</v>
      </c>
      <c r="K67" s="157">
        <f t="shared" si="8"/>
        <v>0.3898158048795247</v>
      </c>
    </row>
    <row r="68" spans="1:11" ht="12.75">
      <c r="A68" s="122">
        <v>15</v>
      </c>
      <c r="B68" s="22">
        <f t="shared" si="3"/>
        <v>54</v>
      </c>
      <c r="C68" s="11">
        <f t="shared" si="4"/>
        <v>69.60000000000001</v>
      </c>
      <c r="D68" s="124">
        <f t="shared" si="5"/>
        <v>86.77386520421813</v>
      </c>
      <c r="E68" s="91">
        <f t="shared" si="10"/>
        <v>1.606923429707743</v>
      </c>
      <c r="F68" s="129" t="str">
        <f t="shared" si="9"/>
        <v>RuN</v>
      </c>
      <c r="G68" s="127">
        <f t="shared" si="6"/>
        <v>16.482979932797846</v>
      </c>
      <c r="H68" s="128">
        <f t="shared" si="11"/>
        <v>70.29088527142028</v>
      </c>
      <c r="I68" s="123"/>
      <c r="J68" s="157">
        <f t="shared" si="7"/>
        <v>0.22066493337224735</v>
      </c>
      <c r="K68" s="157">
        <f t="shared" si="8"/>
        <v>0.3898158048795247</v>
      </c>
    </row>
    <row r="69" spans="1:11" ht="12.75">
      <c r="A69" s="122">
        <v>18</v>
      </c>
      <c r="B69" s="22">
        <f t="shared" si="3"/>
        <v>56.699999999999996</v>
      </c>
      <c r="C69" s="11">
        <f t="shared" si="4"/>
        <v>1476.8000000000002</v>
      </c>
      <c r="D69" s="124">
        <f t="shared" si="5"/>
        <v>1485.2982827729656</v>
      </c>
      <c r="E69" s="91">
        <f t="shared" si="10"/>
        <v>26.195736909576116</v>
      </c>
      <c r="F69" s="129" t="str">
        <f t="shared" si="9"/>
        <v>RuN</v>
      </c>
      <c r="G69" s="127">
        <f t="shared" si="6"/>
        <v>17.307128929437738</v>
      </c>
      <c r="H69" s="128">
        <f t="shared" si="11"/>
        <v>1467.9911538435279</v>
      </c>
      <c r="I69" s="123"/>
      <c r="J69" s="157">
        <f t="shared" si="7"/>
        <v>0.22066493337224735</v>
      </c>
      <c r="K69" s="157">
        <f t="shared" si="8"/>
        <v>0.3898158048795247</v>
      </c>
    </row>
    <row r="70" spans="1:11" s="69" customFormat="1" ht="12.75">
      <c r="A70" s="122">
        <v>49</v>
      </c>
      <c r="B70" s="22">
        <f t="shared" si="3"/>
        <v>66.15</v>
      </c>
      <c r="C70" s="11">
        <f t="shared" si="4"/>
        <v>1247.2</v>
      </c>
      <c r="D70" s="124">
        <f t="shared" si="5"/>
        <v>1255.5051114423954</v>
      </c>
      <c r="E70" s="91">
        <f t="shared" si="10"/>
        <v>18.97966910721686</v>
      </c>
      <c r="F70" s="129" t="str">
        <f t="shared" si="9"/>
        <v>RuN</v>
      </c>
      <c r="G70" s="127">
        <f t="shared" si="6"/>
        <v>20.191650417677362</v>
      </c>
      <c r="H70" s="128">
        <f t="shared" si="11"/>
        <v>1235.313461024718</v>
      </c>
      <c r="I70" s="123"/>
      <c r="J70" s="157">
        <f t="shared" si="7"/>
        <v>0.22066493337224735</v>
      </c>
      <c r="K70" s="157">
        <f t="shared" si="8"/>
        <v>0.3898158048795247</v>
      </c>
    </row>
    <row r="71" spans="1:11" ht="12.75">
      <c r="A71" s="122">
        <v>74</v>
      </c>
      <c r="B71" s="22">
        <f t="shared" si="3"/>
        <v>66.60000000000001</v>
      </c>
      <c r="C71" s="11">
        <f t="shared" si="4"/>
        <v>1155.2</v>
      </c>
      <c r="D71" s="124">
        <f t="shared" si="5"/>
        <v>1163.3107110863377</v>
      </c>
      <c r="E71" s="91">
        <f t="shared" si="10"/>
        <v>17.46712779408915</v>
      </c>
      <c r="F71" s="129" t="str">
        <f t="shared" si="9"/>
        <v>RuN</v>
      </c>
      <c r="G71" s="127">
        <f t="shared" si="6"/>
        <v>20.329008583784013</v>
      </c>
      <c r="H71" s="128">
        <f t="shared" si="11"/>
        <v>1142.9817025025536</v>
      </c>
      <c r="I71" s="123"/>
      <c r="J71" s="157">
        <f t="shared" si="7"/>
        <v>0.22066493337224735</v>
      </c>
      <c r="K71" s="157">
        <f t="shared" si="8"/>
        <v>0.3898158048795247</v>
      </c>
    </row>
    <row r="72" spans="1:11" ht="12.75">
      <c r="A72" s="122">
        <v>26</v>
      </c>
      <c r="B72" s="22">
        <f t="shared" si="3"/>
        <v>70.2</v>
      </c>
      <c r="C72" s="11">
        <f t="shared" si="4"/>
        <v>1123.2</v>
      </c>
      <c r="D72" s="124">
        <f t="shared" si="5"/>
        <v>1146.4717923868402</v>
      </c>
      <c r="E72" s="91">
        <f t="shared" si="10"/>
        <v>16.331507014057554</v>
      </c>
      <c r="F72" s="129" t="str">
        <f t="shared" si="9"/>
        <v>RuN</v>
      </c>
      <c r="G72" s="127">
        <f t="shared" si="6"/>
        <v>21.4278739126372</v>
      </c>
      <c r="H72" s="128">
        <f t="shared" si="11"/>
        <v>1125.043918474203</v>
      </c>
      <c r="I72" s="123"/>
      <c r="J72" s="157">
        <f t="shared" si="7"/>
        <v>0.22066493337224735</v>
      </c>
      <c r="K72" s="157">
        <f t="shared" si="8"/>
        <v>0.3898158048795247</v>
      </c>
    </row>
    <row r="73" spans="1:11" ht="12.75">
      <c r="A73" s="122">
        <v>16</v>
      </c>
      <c r="B73" s="22">
        <f t="shared" si="3"/>
        <v>72</v>
      </c>
      <c r="C73" s="11">
        <f t="shared" si="4"/>
        <v>130.4</v>
      </c>
      <c r="D73" s="124">
        <f t="shared" si="5"/>
        <v>145.19251534401383</v>
      </c>
      <c r="E73" s="91">
        <f t="shared" si="10"/>
        <v>2.0165627131113033</v>
      </c>
      <c r="F73" s="129" t="str">
        <f t="shared" si="9"/>
        <v>RuN</v>
      </c>
      <c r="G73" s="127">
        <f t="shared" si="6"/>
        <v>21.977306577063793</v>
      </c>
      <c r="H73" s="128">
        <f t="shared" si="11"/>
        <v>123.21520876695004</v>
      </c>
      <c r="I73" s="123"/>
      <c r="J73" s="157">
        <f t="shared" si="7"/>
        <v>0.22066493337224735</v>
      </c>
      <c r="K73" s="157">
        <f t="shared" si="8"/>
        <v>0.3898158048795247</v>
      </c>
    </row>
    <row r="74" spans="1:11" ht="12.75">
      <c r="A74" s="122">
        <v>83</v>
      </c>
      <c r="B74" s="22">
        <f t="shared" si="3"/>
        <v>74.7</v>
      </c>
      <c r="C74" s="11">
        <f t="shared" si="4"/>
        <v>772</v>
      </c>
      <c r="D74" s="124">
        <f t="shared" si="5"/>
        <v>798.608419029302</v>
      </c>
      <c r="E74" s="91">
        <f t="shared" si="10"/>
        <v>10.69087575675103</v>
      </c>
      <c r="F74" s="129" t="str">
        <f t="shared" si="9"/>
        <v>RuN</v>
      </c>
      <c r="G74" s="127">
        <f t="shared" si="6"/>
        <v>22.801455573703688</v>
      </c>
      <c r="H74" s="128">
        <f t="shared" si="11"/>
        <v>775.8069634555983</v>
      </c>
      <c r="I74" s="123"/>
      <c r="J74" s="157">
        <f t="shared" si="7"/>
        <v>0.22066493337224735</v>
      </c>
      <c r="K74" s="157">
        <f t="shared" si="8"/>
        <v>0.3898158048795247</v>
      </c>
    </row>
    <row r="75" spans="1:11" ht="12.75">
      <c r="A75" s="122">
        <v>42</v>
      </c>
      <c r="B75" s="22">
        <f t="shared" si="3"/>
        <v>75.60000000000001</v>
      </c>
      <c r="C75" s="11">
        <f t="shared" si="4"/>
        <v>700.8000000000001</v>
      </c>
      <c r="D75" s="124">
        <f t="shared" si="5"/>
        <v>710.6293165173095</v>
      </c>
      <c r="E75" s="91">
        <f t="shared" si="10"/>
        <v>9.399858684091393</v>
      </c>
      <c r="F75" s="129" t="str">
        <f t="shared" si="9"/>
        <v>RuN</v>
      </c>
      <c r="G75" s="127">
        <f t="shared" si="6"/>
        <v>23.076171905916986</v>
      </c>
      <c r="H75" s="128">
        <f t="shared" si="11"/>
        <v>687.5531446113924</v>
      </c>
      <c r="I75" s="123"/>
      <c r="J75" s="157">
        <f t="shared" si="7"/>
        <v>0.22066493337224735</v>
      </c>
      <c r="K75" s="157">
        <f t="shared" si="8"/>
        <v>0.3898158048795247</v>
      </c>
    </row>
    <row r="76" spans="1:11" ht="12.75">
      <c r="A76" s="122">
        <v>61</v>
      </c>
      <c r="B76" s="22">
        <f t="shared" si="3"/>
        <v>82.35</v>
      </c>
      <c r="C76" s="11">
        <f t="shared" si="4"/>
        <v>821.6</v>
      </c>
      <c r="D76" s="124">
        <f t="shared" si="5"/>
        <v>831.8168241967771</v>
      </c>
      <c r="E76" s="91">
        <f t="shared" si="10"/>
        <v>10.100993615018545</v>
      </c>
      <c r="F76" s="129" t="str">
        <f t="shared" si="9"/>
        <v>RuN</v>
      </c>
      <c r="G76" s="127">
        <f t="shared" si="6"/>
        <v>25.13654439751671</v>
      </c>
      <c r="H76" s="128">
        <f t="shared" si="11"/>
        <v>806.6802797992605</v>
      </c>
      <c r="I76" s="123"/>
      <c r="J76" s="157">
        <f t="shared" si="7"/>
        <v>0.22066493337224735</v>
      </c>
      <c r="K76" s="157">
        <f t="shared" si="8"/>
        <v>0.3898158048795247</v>
      </c>
    </row>
    <row r="77" spans="1:11" ht="12.75">
      <c r="A77" s="122">
        <v>46</v>
      </c>
      <c r="B77" s="22">
        <f t="shared" si="3"/>
        <v>82.8</v>
      </c>
      <c r="C77" s="11">
        <f t="shared" si="4"/>
        <v>264</v>
      </c>
      <c r="D77" s="124">
        <f t="shared" si="5"/>
        <v>292.8321690222386</v>
      </c>
      <c r="E77" s="91">
        <f t="shared" si="10"/>
        <v>3.5366203988193066</v>
      </c>
      <c r="F77" s="129" t="str">
        <f t="shared" si="9"/>
        <v>RuN</v>
      </c>
      <c r="G77" s="127">
        <f t="shared" si="6"/>
        <v>25.273902563623363</v>
      </c>
      <c r="H77" s="128">
        <f t="shared" si="11"/>
        <v>267.5582664586152</v>
      </c>
      <c r="I77" s="123"/>
      <c r="J77" s="157">
        <f t="shared" si="7"/>
        <v>0.22066493337224735</v>
      </c>
      <c r="K77" s="157">
        <f t="shared" si="8"/>
        <v>0.3898158048795247</v>
      </c>
    </row>
    <row r="78" spans="1:11" ht="12.75">
      <c r="A78" s="122">
        <v>19</v>
      </c>
      <c r="B78" s="22">
        <f t="shared" si="3"/>
        <v>85.5</v>
      </c>
      <c r="C78" s="11">
        <f t="shared" si="4"/>
        <v>1524.8000000000002</v>
      </c>
      <c r="D78" s="124">
        <f t="shared" si="5"/>
        <v>1546.857740171142</v>
      </c>
      <c r="E78" s="91">
        <f t="shared" si="10"/>
        <v>18.091903393814526</v>
      </c>
      <c r="F78" s="129" t="str">
        <f t="shared" si="9"/>
        <v>RuN</v>
      </c>
      <c r="G78" s="127">
        <f t="shared" si="6"/>
        <v>26.098051560263254</v>
      </c>
      <c r="H78" s="128">
        <f t="shared" si="11"/>
        <v>1520.7596886108788</v>
      </c>
      <c r="I78" s="123"/>
      <c r="J78" s="157">
        <f t="shared" si="7"/>
        <v>0.22066493337224735</v>
      </c>
      <c r="K78" s="157">
        <f t="shared" si="8"/>
        <v>0.3898158048795247</v>
      </c>
    </row>
    <row r="79" spans="1:11" ht="12.75">
      <c r="A79" s="122">
        <v>29</v>
      </c>
      <c r="B79" s="22">
        <f t="shared" si="3"/>
        <v>91.35000000000001</v>
      </c>
      <c r="C79" s="11">
        <f t="shared" si="4"/>
        <v>376.8</v>
      </c>
      <c r="D79" s="124">
        <f t="shared" si="5"/>
        <v>391.44924536125745</v>
      </c>
      <c r="E79" s="91">
        <f t="shared" si="10"/>
        <v>4.285158679378844</v>
      </c>
      <c r="F79" s="129" t="str">
        <f t="shared" si="9"/>
        <v>RuN</v>
      </c>
      <c r="G79" s="127">
        <f t="shared" si="6"/>
        <v>27.883707719649692</v>
      </c>
      <c r="H79" s="128">
        <f t="shared" si="11"/>
        <v>363.56553764160776</v>
      </c>
      <c r="I79" s="123"/>
      <c r="J79" s="157">
        <f t="shared" si="7"/>
        <v>0.22066493337224735</v>
      </c>
      <c r="K79" s="157">
        <f t="shared" si="8"/>
        <v>0.3898158048795247</v>
      </c>
    </row>
    <row r="80" spans="1:11" ht="12.75">
      <c r="A80" s="122">
        <v>71</v>
      </c>
      <c r="B80" s="22">
        <f t="shared" si="3"/>
        <v>95.85</v>
      </c>
      <c r="C80" s="11">
        <f t="shared" si="4"/>
        <v>347.20000000000005</v>
      </c>
      <c r="D80" s="124">
        <f t="shared" si="5"/>
        <v>381.14303062173184</v>
      </c>
      <c r="E80" s="91">
        <f t="shared" si="10"/>
        <v>3.976453110294542</v>
      </c>
      <c r="F80" s="129" t="str">
        <f t="shared" si="9"/>
        <v>RuN</v>
      </c>
      <c r="G80" s="127">
        <f t="shared" si="6"/>
        <v>29.257289380716173</v>
      </c>
      <c r="H80" s="128">
        <f t="shared" si="11"/>
        <v>351.8857412410157</v>
      </c>
      <c r="I80" s="123"/>
      <c r="J80" s="157">
        <f t="shared" si="7"/>
        <v>0.22066493337224735</v>
      </c>
      <c r="K80" s="157">
        <f t="shared" si="8"/>
        <v>0.3898158048795247</v>
      </c>
    </row>
    <row r="81" spans="1:11" ht="12.75">
      <c r="A81" s="122">
        <v>22</v>
      </c>
      <c r="B81" s="22">
        <f t="shared" si="3"/>
        <v>99</v>
      </c>
      <c r="C81" s="11">
        <f t="shared" si="4"/>
        <v>35.2</v>
      </c>
      <c r="D81" s="124">
        <f t="shared" si="5"/>
        <v>58.85484644563</v>
      </c>
      <c r="E81" s="91">
        <f t="shared" si="10"/>
        <v>0.5944933984407071</v>
      </c>
      <c r="F81" s="129" t="str">
        <f t="shared" si="9"/>
        <v>RuN</v>
      </c>
      <c r="G81" s="127">
        <f t="shared" si="6"/>
        <v>30.218796543462716</v>
      </c>
      <c r="H81" s="128">
        <f t="shared" si="11"/>
        <v>28.636049902167287</v>
      </c>
      <c r="I81" s="123"/>
      <c r="J81" s="157">
        <f t="shared" si="7"/>
        <v>0.22066493337224735</v>
      </c>
      <c r="K81" s="157">
        <f t="shared" si="8"/>
        <v>0.3898158048795247</v>
      </c>
    </row>
    <row r="82" spans="1:11" ht="12.75">
      <c r="A82" s="122">
        <v>45</v>
      </c>
      <c r="B82" s="22">
        <f t="shared" si="3"/>
        <v>101.25</v>
      </c>
      <c r="C82" s="11">
        <f t="shared" si="4"/>
        <v>1009.6</v>
      </c>
      <c r="D82" s="124">
        <f t="shared" si="5"/>
        <v>1044.2384778230896</v>
      </c>
      <c r="E82" s="91">
        <f t="shared" si="10"/>
        <v>10.313466447635452</v>
      </c>
      <c r="F82" s="129" t="str">
        <f t="shared" si="9"/>
        <v>RuN</v>
      </c>
      <c r="G82" s="127">
        <f t="shared" si="6"/>
        <v>30.90558737399596</v>
      </c>
      <c r="H82" s="128">
        <f t="shared" si="11"/>
        <v>1013.3328904490936</v>
      </c>
      <c r="I82" s="123"/>
      <c r="J82" s="157">
        <f t="shared" si="7"/>
        <v>0.22066493337224735</v>
      </c>
      <c r="K82" s="157">
        <f t="shared" si="8"/>
        <v>0.3898158048795247</v>
      </c>
    </row>
    <row r="83" spans="1:11" ht="12.75">
      <c r="A83" s="122">
        <v>25</v>
      </c>
      <c r="B83" s="22">
        <f t="shared" si="3"/>
        <v>112.5</v>
      </c>
      <c r="C83" s="11">
        <f t="shared" si="4"/>
        <v>1590.4</v>
      </c>
      <c r="D83" s="124">
        <f t="shared" si="5"/>
        <v>1615.6132513736802</v>
      </c>
      <c r="E83" s="91">
        <f t="shared" si="10"/>
        <v>14.361006678877157</v>
      </c>
      <c r="F83" s="129" t="str">
        <f t="shared" si="9"/>
        <v>RuN</v>
      </c>
      <c r="G83" s="127">
        <f t="shared" si="6"/>
        <v>34.33954152666218</v>
      </c>
      <c r="H83" s="128">
        <f t="shared" si="11"/>
        <v>1581.273709847018</v>
      </c>
      <c r="I83" s="123"/>
      <c r="J83" s="157">
        <f t="shared" si="7"/>
        <v>0.22066493337224735</v>
      </c>
      <c r="K83" s="157">
        <f t="shared" si="8"/>
        <v>0.3898158048795247</v>
      </c>
    </row>
    <row r="84" spans="1:11" ht="12.75">
      <c r="A84" s="122">
        <v>32</v>
      </c>
      <c r="B84" s="22">
        <f t="shared" si="3"/>
        <v>115.2</v>
      </c>
      <c r="C84" s="11">
        <f t="shared" si="4"/>
        <v>1315.2</v>
      </c>
      <c r="D84" s="124">
        <f t="shared" si="5"/>
        <v>1350.470922441485</v>
      </c>
      <c r="E84" s="91">
        <f t="shared" si="10"/>
        <v>11.722837868415668</v>
      </c>
      <c r="F84" s="129" t="str">
        <f t="shared" si="9"/>
        <v>RuN</v>
      </c>
      <c r="G84" s="127">
        <f t="shared" si="6"/>
        <v>35.16369052330207</v>
      </c>
      <c r="H84" s="128">
        <f t="shared" si="11"/>
        <v>1315.307231918183</v>
      </c>
      <c r="I84" s="123"/>
      <c r="J84" s="157">
        <f t="shared" si="7"/>
        <v>0.22066493337224735</v>
      </c>
      <c r="K84" s="157">
        <f t="shared" si="8"/>
        <v>0.3898158048795247</v>
      </c>
    </row>
    <row r="85" spans="1:11" ht="12.75">
      <c r="A85" s="20">
        <v>64</v>
      </c>
      <c r="B85" s="22">
        <f t="shared" si="3"/>
        <v>115.2</v>
      </c>
      <c r="C85" s="11">
        <v>0</v>
      </c>
      <c r="D85" s="4">
        <f t="shared" si="5"/>
        <v>40.36643995203244</v>
      </c>
      <c r="E85" s="71">
        <f t="shared" si="10"/>
        <v>0.3504031245836149</v>
      </c>
      <c r="F85" s="27" t="str">
        <f t="shared" si="9"/>
        <v>N</v>
      </c>
      <c r="G85" s="127">
        <f>D85</f>
        <v>40.36643995203244</v>
      </c>
      <c r="H85" s="48">
        <f t="shared" si="11"/>
        <v>0</v>
      </c>
      <c r="I85" s="21" t="s">
        <v>130</v>
      </c>
      <c r="J85" s="157">
        <f t="shared" si="7"/>
        <v>0.22066493337224735</v>
      </c>
      <c r="K85" s="157">
        <f t="shared" si="8"/>
        <v>0.3898158048795247</v>
      </c>
    </row>
    <row r="86" spans="1:11" ht="12.75">
      <c r="A86" s="122">
        <v>43</v>
      </c>
      <c r="B86" s="22">
        <f t="shared" si="3"/>
        <v>116.10000000000001</v>
      </c>
      <c r="C86" s="11">
        <f aca="true" t="shared" si="12" ref="C86:C91">C$5*ROUND(ABS(SIN(A86+5)-1)*1000,0)</f>
        <v>1414.4</v>
      </c>
      <c r="D86" s="124">
        <f t="shared" si="5"/>
        <v>1430.6757142856984</v>
      </c>
      <c r="E86" s="91">
        <f t="shared" si="10"/>
        <v>12.322788236741587</v>
      </c>
      <c r="F86" s="129" t="str">
        <f t="shared" si="9"/>
        <v>RuN</v>
      </c>
      <c r="G86" s="127">
        <f t="shared" si="6"/>
        <v>35.438406855515375</v>
      </c>
      <c r="H86" s="128">
        <f t="shared" si="11"/>
        <v>1395.2373074301831</v>
      </c>
      <c r="I86" s="123"/>
      <c r="J86" s="157">
        <f t="shared" si="7"/>
        <v>0.22066493337224735</v>
      </c>
      <c r="K86" s="157">
        <f t="shared" si="8"/>
        <v>0.3898158048795247</v>
      </c>
    </row>
    <row r="87" spans="1:11" ht="12.75">
      <c r="A87" s="122">
        <v>34</v>
      </c>
      <c r="B87" s="22">
        <f t="shared" si="3"/>
        <v>122.4</v>
      </c>
      <c r="C87" s="11">
        <f t="shared" si="12"/>
        <v>28.8</v>
      </c>
      <c r="D87" s="124">
        <f t="shared" si="5"/>
        <v>65.94716649373092</v>
      </c>
      <c r="E87" s="91">
        <f t="shared" si="10"/>
        <v>0.5387840399814617</v>
      </c>
      <c r="F87" s="129" t="str">
        <f t="shared" si="9"/>
        <v>RuN</v>
      </c>
      <c r="G87" s="127">
        <f t="shared" si="6"/>
        <v>37.36142118100845</v>
      </c>
      <c r="H87" s="128">
        <f t="shared" si="11"/>
        <v>28.585745312722466</v>
      </c>
      <c r="I87" s="123"/>
      <c r="J87" s="157">
        <f t="shared" si="7"/>
        <v>0.22066493337224735</v>
      </c>
      <c r="K87" s="157">
        <f t="shared" si="8"/>
        <v>0.3898158048795247</v>
      </c>
    </row>
    <row r="88" spans="1:11" ht="12.75">
      <c r="A88" s="122">
        <v>68</v>
      </c>
      <c r="B88" s="22">
        <f t="shared" si="3"/>
        <v>122.4</v>
      </c>
      <c r="C88" s="11">
        <f t="shared" si="12"/>
        <v>1341.6000000000001</v>
      </c>
      <c r="D88" s="124">
        <f t="shared" si="5"/>
        <v>1357.787238226036</v>
      </c>
      <c r="E88" s="91">
        <f t="shared" si="10"/>
        <v>11.093032992042776</v>
      </c>
      <c r="F88" s="129" t="str">
        <f t="shared" si="9"/>
        <v>RuN</v>
      </c>
      <c r="G88" s="127">
        <f t="shared" si="6"/>
        <v>37.36142118100845</v>
      </c>
      <c r="H88" s="128">
        <f t="shared" si="11"/>
        <v>1320.4258170450275</v>
      </c>
      <c r="I88" s="123"/>
      <c r="J88" s="157">
        <f t="shared" si="7"/>
        <v>0.22066493337224735</v>
      </c>
      <c r="K88" s="157">
        <f t="shared" si="8"/>
        <v>0.3898158048795247</v>
      </c>
    </row>
    <row r="89" spans="1:11" ht="12.75">
      <c r="A89" s="122">
        <v>31</v>
      </c>
      <c r="B89" s="22">
        <f t="shared" si="3"/>
        <v>125.55000000000001</v>
      </c>
      <c r="C89" s="11">
        <f t="shared" si="12"/>
        <v>1593.6000000000001</v>
      </c>
      <c r="D89" s="124">
        <f t="shared" si="5"/>
        <v>1617.644768835563</v>
      </c>
      <c r="E89" s="91">
        <f t="shared" si="10"/>
        <v>12.884466498092893</v>
      </c>
      <c r="F89" s="129" t="str">
        <f t="shared" si="9"/>
        <v>RuN</v>
      </c>
      <c r="G89" s="127">
        <f t="shared" si="6"/>
        <v>38.322928343754995</v>
      </c>
      <c r="H89" s="128">
        <f t="shared" si="11"/>
        <v>1579.321840491808</v>
      </c>
      <c r="I89" s="123"/>
      <c r="J89" s="157">
        <f t="shared" si="7"/>
        <v>0.22066493337224735</v>
      </c>
      <c r="K89" s="157">
        <f t="shared" si="8"/>
        <v>0.3898158048795247</v>
      </c>
    </row>
    <row r="90" spans="1:11" ht="12.75">
      <c r="A90" s="122">
        <v>93</v>
      </c>
      <c r="B90" s="22">
        <f t="shared" si="3"/>
        <v>125.55000000000001</v>
      </c>
      <c r="C90" s="11">
        <f t="shared" si="12"/>
        <v>1258.4</v>
      </c>
      <c r="D90" s="124">
        <f t="shared" si="5"/>
        <v>1274.245181259627</v>
      </c>
      <c r="E90" s="91">
        <f t="shared" si="10"/>
        <v>10.149304510231994</v>
      </c>
      <c r="F90" s="129" t="str">
        <f t="shared" si="9"/>
        <v>RuN</v>
      </c>
      <c r="G90" s="127">
        <f t="shared" si="6"/>
        <v>38.322928343754995</v>
      </c>
      <c r="H90" s="128">
        <f t="shared" si="11"/>
        <v>1235.9222529158721</v>
      </c>
      <c r="I90" s="123"/>
      <c r="J90" s="157">
        <f t="shared" si="7"/>
        <v>0.22066493337224735</v>
      </c>
      <c r="K90" s="157">
        <f t="shared" si="8"/>
        <v>0.3898158048795247</v>
      </c>
    </row>
    <row r="91" spans="1:11" s="153" customFormat="1" ht="12.75">
      <c r="A91" s="20">
        <v>28</v>
      </c>
      <c r="B91" s="22">
        <f t="shared" si="3"/>
        <v>126</v>
      </c>
      <c r="C91" s="11">
        <f t="shared" si="12"/>
        <v>0</v>
      </c>
      <c r="D91" s="4">
        <f t="shared" si="5"/>
        <v>34.33609551921498</v>
      </c>
      <c r="E91" s="71">
        <f t="shared" si="10"/>
        <v>0.27250869459694427</v>
      </c>
      <c r="F91" s="27" t="str">
        <f t="shared" si="9"/>
        <v>N</v>
      </c>
      <c r="G91" s="127">
        <f>D91</f>
        <v>34.33609551921498</v>
      </c>
      <c r="H91" s="48">
        <f t="shared" si="11"/>
        <v>0</v>
      </c>
      <c r="I91" s="21" t="s">
        <v>130</v>
      </c>
      <c r="J91" s="157">
        <f t="shared" si="7"/>
        <v>0.22066493337224735</v>
      </c>
      <c r="K91" s="157">
        <f t="shared" si="8"/>
        <v>0.3898158048795247</v>
      </c>
    </row>
    <row r="92" spans="1:11" ht="12.75">
      <c r="A92" s="122">
        <v>40</v>
      </c>
      <c r="B92" s="22">
        <f t="shared" si="3"/>
        <v>126</v>
      </c>
      <c r="C92" s="11">
        <f aca="true" t="shared" si="13" ref="C92:C123">C$5*ROUND(ABS(SIN(A92+5)-1)*1000,0)</f>
        <v>119.2</v>
      </c>
      <c r="D92" s="124">
        <f t="shared" si="5"/>
        <v>160.70611098644775</v>
      </c>
      <c r="E92" s="91">
        <f t="shared" si="10"/>
        <v>1.275445325289268</v>
      </c>
      <c r="F92" s="129" t="str">
        <f t="shared" si="9"/>
        <v>RuN</v>
      </c>
      <c r="G92" s="127">
        <f t="shared" si="6"/>
        <v>38.46028650986164</v>
      </c>
      <c r="H92" s="128">
        <f t="shared" si="11"/>
        <v>122.24582447658611</v>
      </c>
      <c r="I92" s="123"/>
      <c r="J92" s="157">
        <f t="shared" si="7"/>
        <v>0.22066493337224735</v>
      </c>
      <c r="K92" s="157">
        <f t="shared" si="8"/>
        <v>0.3898158048795247</v>
      </c>
    </row>
    <row r="93" spans="1:11" ht="12.75">
      <c r="A93" s="122">
        <v>48</v>
      </c>
      <c r="B93" s="22">
        <f t="shared" si="3"/>
        <v>129.60000000000002</v>
      </c>
      <c r="C93" s="11">
        <f t="shared" si="13"/>
        <v>483.20000000000005</v>
      </c>
      <c r="D93" s="124">
        <f t="shared" si="5"/>
        <v>502.35610350709436</v>
      </c>
      <c r="E93" s="91">
        <f t="shared" si="10"/>
        <v>3.8762045023695544</v>
      </c>
      <c r="F93" s="129" t="str">
        <f t="shared" si="9"/>
        <v>RuN</v>
      </c>
      <c r="G93" s="127">
        <f t="shared" si="6"/>
        <v>39.55915183871484</v>
      </c>
      <c r="H93" s="128">
        <f t="shared" si="11"/>
        <v>462.7969516683795</v>
      </c>
      <c r="I93" s="123"/>
      <c r="J93" s="157">
        <f t="shared" si="7"/>
        <v>0.22066493337224735</v>
      </c>
      <c r="K93" s="157">
        <f t="shared" si="8"/>
        <v>0.3898158048795247</v>
      </c>
    </row>
    <row r="94" spans="1:11" ht="12.75">
      <c r="A94" s="122">
        <v>35</v>
      </c>
      <c r="B94" s="22">
        <f t="shared" si="3"/>
        <v>141.75</v>
      </c>
      <c r="C94" s="11">
        <f t="shared" si="13"/>
        <v>204</v>
      </c>
      <c r="D94" s="124">
        <f t="shared" si="5"/>
        <v>230.73661279187047</v>
      </c>
      <c r="E94" s="91">
        <f t="shared" si="10"/>
        <v>1.627771518813901</v>
      </c>
      <c r="F94" s="129" t="str">
        <f t="shared" si="9"/>
        <v>RuN</v>
      </c>
      <c r="G94" s="127">
        <f t="shared" si="6"/>
        <v>43.267822323594345</v>
      </c>
      <c r="H94" s="128">
        <f t="shared" si="11"/>
        <v>187.46879046827613</v>
      </c>
      <c r="I94" s="123"/>
      <c r="J94" s="157">
        <f t="shared" si="7"/>
        <v>0.22066493337224735</v>
      </c>
      <c r="K94" s="157">
        <f t="shared" si="8"/>
        <v>0.3898158048795247</v>
      </c>
    </row>
    <row r="95" spans="1:11" ht="12.75">
      <c r="A95" s="122">
        <v>67</v>
      </c>
      <c r="B95" s="22">
        <f t="shared" si="3"/>
        <v>150.75</v>
      </c>
      <c r="C95" s="11">
        <f t="shared" si="13"/>
        <v>596.8000000000001</v>
      </c>
      <c r="D95" s="124">
        <f t="shared" si="5"/>
        <v>617.5036435803365</v>
      </c>
      <c r="E95" s="91">
        <f t="shared" si="10"/>
        <v>4.096209907663924</v>
      </c>
      <c r="F95" s="129" t="str">
        <f t="shared" si="9"/>
        <v>RuN</v>
      </c>
      <c r="G95" s="127">
        <f t="shared" si="6"/>
        <v>46.01498564572732</v>
      </c>
      <c r="H95" s="128">
        <f t="shared" si="11"/>
        <v>571.4886579346093</v>
      </c>
      <c r="I95" s="123"/>
      <c r="J95" s="157">
        <f t="shared" si="7"/>
        <v>0.22066493337224735</v>
      </c>
      <c r="K95" s="157">
        <f t="shared" si="8"/>
        <v>0.3898158048795247</v>
      </c>
    </row>
    <row r="96" spans="1:11" s="152" customFormat="1" ht="12.75">
      <c r="A96" s="135">
        <v>86</v>
      </c>
      <c r="B96" s="22">
        <f t="shared" si="3"/>
        <v>154.8</v>
      </c>
      <c r="C96" s="11">
        <f t="shared" si="13"/>
        <v>715.2</v>
      </c>
      <c r="D96" s="137">
        <f t="shared" si="5"/>
        <v>735.1978358884527</v>
      </c>
      <c r="E96" s="138">
        <f aca="true" t="shared" si="14" ref="E96:E127">IF(B96&gt;0,D96/B96,10000)</f>
        <v>4.749340025119203</v>
      </c>
      <c r="F96" s="129" t="str">
        <f t="shared" si="9"/>
        <v>RuN</v>
      </c>
      <c r="G96" s="127">
        <f t="shared" si="6"/>
        <v>47.25120914068716</v>
      </c>
      <c r="H96" s="140">
        <v>0</v>
      </c>
      <c r="I96" s="136"/>
      <c r="J96" s="157">
        <f t="shared" si="7"/>
        <v>0.22066493337224735</v>
      </c>
      <c r="K96" s="157">
        <f t="shared" si="8"/>
        <v>0.3898158048795247</v>
      </c>
    </row>
    <row r="97" spans="1:11" ht="12.75">
      <c r="A97" s="122">
        <v>51</v>
      </c>
      <c r="B97" s="22">
        <f aca="true" t="shared" si="15" ref="B97:B131">A97*C$4*ABS(ROUND(COS(A97)*10,0))</f>
        <v>160.65</v>
      </c>
      <c r="C97" s="11">
        <f t="shared" si="13"/>
        <v>1217.6000000000001</v>
      </c>
      <c r="D97" s="124">
        <f aca="true" t="shared" si="16" ref="D97:D131">C97+B97*(C$6*(1+C$3*SIN(A97)))</f>
        <v>1269.0766780519086</v>
      </c>
      <c r="E97" s="91">
        <f t="shared" si="14"/>
        <v>7.899636962663608</v>
      </c>
      <c r="F97" s="129" t="str">
        <f t="shared" si="9"/>
        <v>RuN</v>
      </c>
      <c r="G97" s="127">
        <f t="shared" si="6"/>
        <v>49.03686530007359</v>
      </c>
      <c r="H97" s="128">
        <f aca="true" t="shared" si="17" ref="H97:H127">D97-G97</f>
        <v>1220.0398127518351</v>
      </c>
      <c r="I97" s="123"/>
      <c r="J97" s="157">
        <f aca="true" t="shared" si="18" ref="J97:J131">D$26</f>
        <v>0.22066493337224735</v>
      </c>
      <c r="K97" s="157">
        <f aca="true" t="shared" si="19" ref="K97:K131">D$27</f>
        <v>0.3898158048795247</v>
      </c>
    </row>
    <row r="98" spans="1:11" ht="12.75">
      <c r="A98" s="122">
        <v>90</v>
      </c>
      <c r="B98" s="22">
        <f t="shared" si="15"/>
        <v>162</v>
      </c>
      <c r="C98" s="11">
        <f t="shared" si="13"/>
        <v>253.60000000000002</v>
      </c>
      <c r="D98" s="124">
        <f t="shared" si="16"/>
        <v>309.85929514039486</v>
      </c>
      <c r="E98" s="91">
        <f t="shared" si="14"/>
        <v>1.9127116983974992</v>
      </c>
      <c r="F98" s="129" t="str">
        <f t="shared" si="9"/>
        <v>RuN</v>
      </c>
      <c r="G98" s="127">
        <f aca="true" t="shared" si="20" ref="G98:G131">B98*C$10</f>
        <v>49.44893979839354</v>
      </c>
      <c r="H98" s="128">
        <f t="shared" si="17"/>
        <v>260.4103553420013</v>
      </c>
      <c r="I98" s="123"/>
      <c r="J98" s="157">
        <f t="shared" si="18"/>
        <v>0.22066493337224735</v>
      </c>
      <c r="K98" s="157">
        <f t="shared" si="19"/>
        <v>0.3898158048795247</v>
      </c>
    </row>
    <row r="99" spans="1:11" ht="12.75">
      <c r="A99" s="122">
        <v>38</v>
      </c>
      <c r="B99" s="22">
        <f t="shared" si="15"/>
        <v>171</v>
      </c>
      <c r="C99" s="11">
        <f t="shared" si="13"/>
        <v>1465.6000000000001</v>
      </c>
      <c r="D99" s="124">
        <f t="shared" si="16"/>
        <v>1512.7214832351167</v>
      </c>
      <c r="E99" s="91">
        <f t="shared" si="14"/>
        <v>8.846324463363256</v>
      </c>
      <c r="F99" s="129" t="str">
        <f t="shared" si="9"/>
        <v>RuN</v>
      </c>
      <c r="G99" s="127">
        <f t="shared" si="20"/>
        <v>52.19610312052651</v>
      </c>
      <c r="H99" s="128">
        <f t="shared" si="17"/>
        <v>1460.5253801145902</v>
      </c>
      <c r="I99" s="123"/>
      <c r="J99" s="157">
        <f t="shared" si="18"/>
        <v>0.22066493337224735</v>
      </c>
      <c r="K99" s="157">
        <f t="shared" si="19"/>
        <v>0.3898158048795247</v>
      </c>
    </row>
    <row r="100" spans="1:11" ht="12.75">
      <c r="A100" s="122">
        <v>65</v>
      </c>
      <c r="B100" s="22">
        <f t="shared" si="15"/>
        <v>175.5</v>
      </c>
      <c r="C100" s="11">
        <f t="shared" si="13"/>
        <v>180.8</v>
      </c>
      <c r="D100" s="124">
        <f t="shared" si="16"/>
        <v>240.33301199006158</v>
      </c>
      <c r="E100" s="91">
        <f t="shared" si="14"/>
        <v>1.3694188717382425</v>
      </c>
      <c r="F100" s="129" t="str">
        <f t="shared" si="9"/>
        <v>RuN</v>
      </c>
      <c r="G100" s="127">
        <f t="shared" si="20"/>
        <v>53.569684781593</v>
      </c>
      <c r="H100" s="128">
        <f t="shared" si="17"/>
        <v>186.76332720846858</v>
      </c>
      <c r="I100" s="123"/>
      <c r="J100" s="157">
        <f t="shared" si="18"/>
        <v>0.22066493337224735</v>
      </c>
      <c r="K100" s="157">
        <f t="shared" si="19"/>
        <v>0.3898158048795247</v>
      </c>
    </row>
    <row r="101" spans="1:11" ht="12.75">
      <c r="A101" s="122">
        <v>41</v>
      </c>
      <c r="B101" s="22">
        <f t="shared" si="15"/>
        <v>184.5</v>
      </c>
      <c r="C101" s="11">
        <f t="shared" si="13"/>
        <v>78.4</v>
      </c>
      <c r="D101" s="124">
        <f t="shared" si="16"/>
        <v>119.16809411266374</v>
      </c>
      <c r="E101" s="91">
        <f t="shared" si="14"/>
        <v>0.6458975290659281</v>
      </c>
      <c r="F101" s="129" t="str">
        <f t="shared" si="9"/>
        <v>RuN</v>
      </c>
      <c r="G101" s="127">
        <f t="shared" si="20"/>
        <v>56.316848103725974</v>
      </c>
      <c r="H101" s="128">
        <f t="shared" si="17"/>
        <v>62.851246008937764</v>
      </c>
      <c r="I101" s="123"/>
      <c r="J101" s="157">
        <f t="shared" si="18"/>
        <v>0.22066493337224735</v>
      </c>
      <c r="K101" s="157">
        <f t="shared" si="19"/>
        <v>0.3898158048795247</v>
      </c>
    </row>
    <row r="102" spans="1:11" ht="12.75">
      <c r="A102" s="122">
        <v>54</v>
      </c>
      <c r="B102" s="22">
        <f t="shared" si="15"/>
        <v>194.4</v>
      </c>
      <c r="C102" s="11">
        <f t="shared" si="13"/>
        <v>290.40000000000003</v>
      </c>
      <c r="D102" s="124">
        <f t="shared" si="16"/>
        <v>324.02056906838953</v>
      </c>
      <c r="E102" s="91">
        <f t="shared" si="14"/>
        <v>1.6667724746316332</v>
      </c>
      <c r="F102" s="129" t="str">
        <f t="shared" si="9"/>
        <v>RuN</v>
      </c>
      <c r="G102" s="127">
        <f t="shared" si="20"/>
        <v>59.338727758072245</v>
      </c>
      <c r="H102" s="128">
        <f t="shared" si="17"/>
        <v>264.6818413103173</v>
      </c>
      <c r="I102" s="123"/>
      <c r="J102" s="157">
        <f t="shared" si="18"/>
        <v>0.22066493337224735</v>
      </c>
      <c r="K102" s="157">
        <f t="shared" si="19"/>
        <v>0.3898158048795247</v>
      </c>
    </row>
    <row r="103" spans="1:11" ht="12.75">
      <c r="A103" s="122">
        <v>62</v>
      </c>
      <c r="B103" s="22">
        <f t="shared" si="15"/>
        <v>195.3</v>
      </c>
      <c r="C103" s="11">
        <f t="shared" si="13"/>
        <v>1484.8000000000002</v>
      </c>
      <c r="D103" s="124">
        <f t="shared" si="16"/>
        <v>1514.348561193329</v>
      </c>
      <c r="E103" s="91">
        <f t="shared" si="14"/>
        <v>7.7539608868066</v>
      </c>
      <c r="F103" s="129" t="str">
        <f t="shared" si="9"/>
        <v>RuN</v>
      </c>
      <c r="G103" s="127">
        <f t="shared" si="20"/>
        <v>59.61344409028555</v>
      </c>
      <c r="H103" s="128">
        <f t="shared" si="17"/>
        <v>1454.7351171030434</v>
      </c>
      <c r="I103" s="123"/>
      <c r="J103" s="157">
        <f t="shared" si="18"/>
        <v>0.22066493337224735</v>
      </c>
      <c r="K103" s="157">
        <f t="shared" si="19"/>
        <v>0.3898158048795247</v>
      </c>
    </row>
    <row r="104" spans="1:11" ht="12.75">
      <c r="A104" s="122">
        <v>44</v>
      </c>
      <c r="B104" s="22">
        <f t="shared" si="15"/>
        <v>198</v>
      </c>
      <c r="C104" s="11">
        <f t="shared" si="13"/>
        <v>1563.2</v>
      </c>
      <c r="D104" s="124">
        <f t="shared" si="16"/>
        <v>1611.1405977405047</v>
      </c>
      <c r="E104" s="91">
        <f t="shared" si="14"/>
        <v>8.137073725962145</v>
      </c>
      <c r="F104" s="129" t="str">
        <f t="shared" si="9"/>
        <v>RuN</v>
      </c>
      <c r="G104" s="127">
        <f t="shared" si="20"/>
        <v>60.43759308692543</v>
      </c>
      <c r="H104" s="128">
        <f t="shared" si="17"/>
        <v>1550.7030046535792</v>
      </c>
      <c r="I104" s="123"/>
      <c r="J104" s="157">
        <f t="shared" si="18"/>
        <v>0.22066493337224735</v>
      </c>
      <c r="K104" s="157">
        <f t="shared" si="19"/>
        <v>0.3898158048795247</v>
      </c>
    </row>
    <row r="105" spans="1:11" ht="12.75">
      <c r="A105" s="122">
        <v>89</v>
      </c>
      <c r="B105" s="22">
        <f t="shared" si="15"/>
        <v>200.25000000000003</v>
      </c>
      <c r="C105" s="11">
        <f t="shared" si="13"/>
        <v>996</v>
      </c>
      <c r="D105" s="124">
        <f t="shared" si="16"/>
        <v>1064.7274678216731</v>
      </c>
      <c r="E105" s="91">
        <f t="shared" si="14"/>
        <v>5.316991100233073</v>
      </c>
      <c r="F105" s="129" t="str">
        <f t="shared" si="9"/>
        <v>RuN</v>
      </c>
      <c r="G105" s="127">
        <f t="shared" si="20"/>
        <v>61.12438391745869</v>
      </c>
      <c r="H105" s="128">
        <f t="shared" si="17"/>
        <v>1003.6030839042145</v>
      </c>
      <c r="I105" s="123"/>
      <c r="J105" s="157">
        <f t="shared" si="18"/>
        <v>0.22066493337224735</v>
      </c>
      <c r="K105" s="157">
        <f t="shared" si="19"/>
        <v>0.3898158048795247</v>
      </c>
    </row>
    <row r="106" spans="1:11" ht="12.75">
      <c r="A106" s="130">
        <v>47</v>
      </c>
      <c r="B106" s="22">
        <f t="shared" si="15"/>
        <v>211.50000000000003</v>
      </c>
      <c r="C106" s="11">
        <f t="shared" si="13"/>
        <v>10.4</v>
      </c>
      <c r="D106" s="132">
        <f t="shared" si="16"/>
        <v>64.2962858552738</v>
      </c>
      <c r="E106" s="133">
        <f t="shared" si="14"/>
        <v>0.3040013515615782</v>
      </c>
      <c r="F106" s="126" t="str">
        <f t="shared" si="9"/>
        <v>N</v>
      </c>
      <c r="G106" s="134">
        <f>D106</f>
        <v>64.2962858552738</v>
      </c>
      <c r="H106" s="119">
        <f t="shared" si="17"/>
        <v>0</v>
      </c>
      <c r="I106" s="131" t="s">
        <v>134</v>
      </c>
      <c r="J106" s="157">
        <f t="shared" si="18"/>
        <v>0.22066493337224735</v>
      </c>
      <c r="K106" s="157">
        <f t="shared" si="19"/>
        <v>0.3898158048795247</v>
      </c>
    </row>
    <row r="107" spans="1:11" s="69" customFormat="1" ht="12.75">
      <c r="A107" s="122">
        <v>59</v>
      </c>
      <c r="B107" s="22">
        <f t="shared" si="15"/>
        <v>212.4</v>
      </c>
      <c r="C107" s="11">
        <f t="shared" si="13"/>
        <v>64</v>
      </c>
      <c r="D107" s="124">
        <f t="shared" si="16"/>
        <v>131.20517832596235</v>
      </c>
      <c r="E107" s="91">
        <f t="shared" si="14"/>
        <v>0.6177268282766589</v>
      </c>
      <c r="F107" s="129" t="str">
        <f t="shared" si="9"/>
        <v>RuN</v>
      </c>
      <c r="G107" s="127">
        <f t="shared" si="20"/>
        <v>64.83305440233819</v>
      </c>
      <c r="H107" s="128">
        <f t="shared" si="17"/>
        <v>66.37212392362416</v>
      </c>
      <c r="I107" s="123"/>
      <c r="J107" s="157">
        <f t="shared" si="18"/>
        <v>0.22066493337224735</v>
      </c>
      <c r="K107" s="157">
        <f t="shared" si="19"/>
        <v>0.3898158048795247</v>
      </c>
    </row>
    <row r="108" spans="1:11" ht="12.75">
      <c r="A108" s="130">
        <v>53</v>
      </c>
      <c r="B108" s="22">
        <f t="shared" si="15"/>
        <v>214.65</v>
      </c>
      <c r="C108" s="11">
        <f t="shared" si="13"/>
        <v>5.6000000000000005</v>
      </c>
      <c r="D108" s="132">
        <f t="shared" si="16"/>
        <v>67.31424001838369</v>
      </c>
      <c r="E108" s="133">
        <f t="shared" si="14"/>
        <v>0.3136000000856449</v>
      </c>
      <c r="F108" s="126" t="str">
        <f t="shared" si="9"/>
        <v>N</v>
      </c>
      <c r="G108" s="134">
        <f>D108</f>
        <v>67.31424001838369</v>
      </c>
      <c r="H108" s="119">
        <f t="shared" si="17"/>
        <v>0</v>
      </c>
      <c r="I108" s="131" t="s">
        <v>134</v>
      </c>
      <c r="J108" s="157">
        <f t="shared" si="18"/>
        <v>0.22066493337224735</v>
      </c>
      <c r="K108" s="157">
        <f t="shared" si="19"/>
        <v>0.3898158048795247</v>
      </c>
    </row>
    <row r="109" spans="1:11" s="69" customFormat="1" ht="12.75">
      <c r="A109" s="122">
        <v>50</v>
      </c>
      <c r="B109" s="22">
        <f t="shared" si="15"/>
        <v>225</v>
      </c>
      <c r="C109" s="11">
        <f t="shared" si="13"/>
        <v>1600</v>
      </c>
      <c r="D109" s="124">
        <f t="shared" si="16"/>
        <v>1646.9158789499938</v>
      </c>
      <c r="E109" s="91">
        <f t="shared" si="14"/>
        <v>7.3196261286666395</v>
      </c>
      <c r="F109" s="129" t="str">
        <f t="shared" si="9"/>
        <v>RuN</v>
      </c>
      <c r="G109" s="127">
        <f t="shared" si="20"/>
        <v>68.67908305332436</v>
      </c>
      <c r="H109" s="128">
        <f t="shared" si="17"/>
        <v>1578.2367958966695</v>
      </c>
      <c r="I109" s="123"/>
      <c r="J109" s="157">
        <f t="shared" si="18"/>
        <v>0.22066493337224735</v>
      </c>
      <c r="K109" s="157">
        <f t="shared" si="19"/>
        <v>0.3898158048795247</v>
      </c>
    </row>
    <row r="110" spans="1:11" ht="12.75">
      <c r="A110" s="122">
        <v>56</v>
      </c>
      <c r="B110" s="22">
        <f t="shared" si="15"/>
        <v>226.79999999999998</v>
      </c>
      <c r="C110" s="11">
        <f t="shared" si="13"/>
        <v>1572.8000000000002</v>
      </c>
      <c r="D110" s="124">
        <f t="shared" si="16"/>
        <v>1613.0374679272027</v>
      </c>
      <c r="E110" s="91">
        <f t="shared" si="14"/>
        <v>7.112158147827173</v>
      </c>
      <c r="F110" s="129" t="str">
        <f aca="true" t="shared" si="21" ref="F110:F131">IF(E110=10000,G$1,IF(D110=G110,H$1,I$1))</f>
        <v>RuN</v>
      </c>
      <c r="G110" s="127">
        <f t="shared" si="20"/>
        <v>69.22851571775095</v>
      </c>
      <c r="H110" s="128">
        <f t="shared" si="17"/>
        <v>1543.8089522094517</v>
      </c>
      <c r="I110" s="123"/>
      <c r="J110" s="157">
        <f t="shared" si="18"/>
        <v>0.22066493337224735</v>
      </c>
      <c r="K110" s="157">
        <f t="shared" si="19"/>
        <v>0.3898158048795247</v>
      </c>
    </row>
    <row r="111" spans="1:11" ht="12.75">
      <c r="A111" s="122">
        <v>57</v>
      </c>
      <c r="B111" s="22">
        <f t="shared" si="15"/>
        <v>230.85000000000002</v>
      </c>
      <c r="C111" s="11">
        <f t="shared" si="13"/>
        <v>1391.2</v>
      </c>
      <c r="D111" s="124">
        <f t="shared" si="16"/>
        <v>1458.6866360498752</v>
      </c>
      <c r="E111" s="91">
        <f t="shared" si="14"/>
        <v>6.318763855533355</v>
      </c>
      <c r="F111" s="129" t="str">
        <f t="shared" si="21"/>
        <v>RuN</v>
      </c>
      <c r="G111" s="127">
        <f t="shared" si="20"/>
        <v>70.4647392127108</v>
      </c>
      <c r="H111" s="128">
        <f t="shared" si="17"/>
        <v>1388.2218968371644</v>
      </c>
      <c r="I111" s="123"/>
      <c r="J111" s="157">
        <f t="shared" si="18"/>
        <v>0.22066493337224735</v>
      </c>
      <c r="K111" s="157">
        <f t="shared" si="19"/>
        <v>0.3898158048795247</v>
      </c>
    </row>
    <row r="112" spans="1:11" ht="12.75">
      <c r="A112" s="122">
        <v>87</v>
      </c>
      <c r="B112" s="22">
        <f t="shared" si="15"/>
        <v>234.89999999999998</v>
      </c>
      <c r="C112" s="11">
        <f t="shared" si="13"/>
        <v>1423.2</v>
      </c>
      <c r="D112" s="124">
        <f t="shared" si="16"/>
        <v>1456.4105988210504</v>
      </c>
      <c r="E112" s="91">
        <f t="shared" si="14"/>
        <v>6.2001302631802915</v>
      </c>
      <c r="F112" s="129" t="str">
        <f t="shared" si="21"/>
        <v>RuN</v>
      </c>
      <c r="G112" s="127">
        <f t="shared" si="20"/>
        <v>71.70096270767063</v>
      </c>
      <c r="H112" s="128">
        <f t="shared" si="17"/>
        <v>1384.7096361133797</v>
      </c>
      <c r="I112" s="123"/>
      <c r="J112" s="157">
        <f t="shared" si="18"/>
        <v>0.22066493337224735</v>
      </c>
      <c r="K112" s="157">
        <f t="shared" si="19"/>
        <v>0.3898158048795247</v>
      </c>
    </row>
    <row r="113" spans="1:11" ht="12.75">
      <c r="A113" s="122">
        <v>92</v>
      </c>
      <c r="B113" s="22">
        <f t="shared" si="15"/>
        <v>248.39999999999998</v>
      </c>
      <c r="C113" s="11">
        <f t="shared" si="13"/>
        <v>496</v>
      </c>
      <c r="D113" s="124">
        <f t="shared" si="16"/>
        <v>532.3816753968921</v>
      </c>
      <c r="E113" s="91">
        <f t="shared" si="14"/>
        <v>2.1432434597298395</v>
      </c>
      <c r="F113" s="129" t="str">
        <f t="shared" si="21"/>
        <v>RuN</v>
      </c>
      <c r="G113" s="127">
        <f t="shared" si="20"/>
        <v>75.82170769087008</v>
      </c>
      <c r="H113" s="128">
        <f t="shared" si="17"/>
        <v>456.559967706022</v>
      </c>
      <c r="I113" s="123"/>
      <c r="J113" s="157">
        <f t="shared" si="18"/>
        <v>0.22066493337224735</v>
      </c>
      <c r="K113" s="157">
        <f t="shared" si="19"/>
        <v>0.3898158048795247</v>
      </c>
    </row>
    <row r="114" spans="1:11" ht="12.75">
      <c r="A114" s="122">
        <v>84</v>
      </c>
      <c r="B114" s="22">
        <f t="shared" si="15"/>
        <v>264.6</v>
      </c>
      <c r="C114" s="11">
        <f t="shared" si="13"/>
        <v>112</v>
      </c>
      <c r="D114" s="124">
        <f t="shared" si="16"/>
        <v>198.78425904296716</v>
      </c>
      <c r="E114" s="91">
        <f t="shared" si="14"/>
        <v>0.7512632616892182</v>
      </c>
      <c r="F114" s="129" t="str">
        <f t="shared" si="21"/>
        <v>RuN</v>
      </c>
      <c r="G114" s="127">
        <f t="shared" si="20"/>
        <v>80.76660167070945</v>
      </c>
      <c r="H114" s="128">
        <f t="shared" si="17"/>
        <v>118.01765737225772</v>
      </c>
      <c r="I114" s="123"/>
      <c r="J114" s="157">
        <f t="shared" si="18"/>
        <v>0.22066493337224735</v>
      </c>
      <c r="K114" s="157">
        <f t="shared" si="19"/>
        <v>0.3898158048795247</v>
      </c>
    </row>
    <row r="115" spans="1:11" s="69" customFormat="1" ht="12.75">
      <c r="A115" s="135">
        <v>60</v>
      </c>
      <c r="B115" s="22">
        <f t="shared" si="15"/>
        <v>270</v>
      </c>
      <c r="C115" s="11">
        <f t="shared" si="13"/>
        <v>138.4</v>
      </c>
      <c r="D115" s="137">
        <f t="shared" si="16"/>
        <v>193.32413587628818</v>
      </c>
      <c r="E115" s="138">
        <f t="shared" si="14"/>
        <v>0.7160153180603266</v>
      </c>
      <c r="F115" s="129" t="str">
        <f t="shared" si="21"/>
        <v>RuN</v>
      </c>
      <c r="G115" s="127">
        <f t="shared" si="20"/>
        <v>82.41489966398923</v>
      </c>
      <c r="H115" s="140">
        <f t="shared" si="17"/>
        <v>110.90923621229895</v>
      </c>
      <c r="I115" s="136"/>
      <c r="J115" s="157">
        <f t="shared" si="18"/>
        <v>0.22066493337224735</v>
      </c>
      <c r="K115" s="157">
        <f t="shared" si="19"/>
        <v>0.3898158048795247</v>
      </c>
    </row>
    <row r="116" spans="1:11" ht="12.75">
      <c r="A116" s="122">
        <v>76</v>
      </c>
      <c r="B116" s="22">
        <f t="shared" si="15"/>
        <v>273.6</v>
      </c>
      <c r="C116" s="11">
        <f t="shared" si="13"/>
        <v>1304</v>
      </c>
      <c r="D116" s="124">
        <f t="shared" si="16"/>
        <v>1388.250445934641</v>
      </c>
      <c r="E116" s="91">
        <f t="shared" si="14"/>
        <v>5.074014787772811</v>
      </c>
      <c r="F116" s="129" t="str">
        <f t="shared" si="21"/>
        <v>RuN</v>
      </c>
      <c r="G116" s="127">
        <f t="shared" si="20"/>
        <v>83.51376499284243</v>
      </c>
      <c r="H116" s="128">
        <f t="shared" si="17"/>
        <v>1304.7366809417986</v>
      </c>
      <c r="I116" s="123"/>
      <c r="J116" s="157">
        <f t="shared" si="18"/>
        <v>0.22066493337224735</v>
      </c>
      <c r="K116" s="157">
        <f t="shared" si="19"/>
        <v>0.3898158048795247</v>
      </c>
    </row>
    <row r="117" spans="1:11" s="1" customFormat="1" ht="12.75">
      <c r="A117" s="122">
        <v>63</v>
      </c>
      <c r="B117" s="22">
        <f t="shared" si="15"/>
        <v>283.5</v>
      </c>
      <c r="C117" s="11">
        <f t="shared" si="13"/>
        <v>1518.4</v>
      </c>
      <c r="D117" s="124">
        <f t="shared" si="16"/>
        <v>1592.1334409243016</v>
      </c>
      <c r="E117" s="91">
        <f t="shared" si="14"/>
        <v>5.61599097327796</v>
      </c>
      <c r="F117" s="129" t="str">
        <f t="shared" si="21"/>
        <v>RuN</v>
      </c>
      <c r="G117" s="127">
        <f t="shared" si="20"/>
        <v>86.53564464718869</v>
      </c>
      <c r="H117" s="128">
        <f t="shared" si="17"/>
        <v>1505.5977962771128</v>
      </c>
      <c r="I117" s="123"/>
      <c r="J117" s="157">
        <f t="shared" si="18"/>
        <v>0.22066493337224735</v>
      </c>
      <c r="K117" s="157">
        <f t="shared" si="19"/>
        <v>0.3898158048795247</v>
      </c>
    </row>
    <row r="118" spans="1:11" s="50" customFormat="1" ht="12.75">
      <c r="A118" s="130">
        <v>66</v>
      </c>
      <c r="B118" s="22">
        <f t="shared" si="15"/>
        <v>297</v>
      </c>
      <c r="C118" s="11">
        <v>20</v>
      </c>
      <c r="D118" s="132">
        <f t="shared" si="16"/>
        <v>90.33371687058582</v>
      </c>
      <c r="E118" s="133">
        <f t="shared" si="14"/>
        <v>0.3041539288571913</v>
      </c>
      <c r="F118" s="126" t="str">
        <f t="shared" si="21"/>
        <v>N</v>
      </c>
      <c r="G118" s="134">
        <f>D118</f>
        <v>90.33371687058582</v>
      </c>
      <c r="H118" s="119">
        <f t="shared" si="17"/>
        <v>0</v>
      </c>
      <c r="I118" s="131" t="s">
        <v>134</v>
      </c>
      <c r="J118" s="157">
        <f t="shared" si="18"/>
        <v>0.22066493337224735</v>
      </c>
      <c r="K118" s="157">
        <f t="shared" si="19"/>
        <v>0.3898158048795247</v>
      </c>
    </row>
    <row r="119" spans="1:11" ht="12.75">
      <c r="A119" s="122">
        <v>95</v>
      </c>
      <c r="B119" s="22">
        <f t="shared" si="15"/>
        <v>299.25</v>
      </c>
      <c r="C119" s="11">
        <f t="shared" si="13"/>
        <v>1204.8</v>
      </c>
      <c r="D119" s="124">
        <f t="shared" si="16"/>
        <v>1301.155928176174</v>
      </c>
      <c r="E119" s="91">
        <f t="shared" si="14"/>
        <v>4.348056568675602</v>
      </c>
      <c r="F119" s="129" t="str">
        <f t="shared" si="21"/>
        <v>RuN</v>
      </c>
      <c r="G119" s="127">
        <f t="shared" si="20"/>
        <v>91.3431804609214</v>
      </c>
      <c r="H119" s="128">
        <f t="shared" si="17"/>
        <v>1209.8127477152527</v>
      </c>
      <c r="I119" s="123"/>
      <c r="J119" s="157">
        <f t="shared" si="18"/>
        <v>0.22066493337224735</v>
      </c>
      <c r="K119" s="157">
        <f t="shared" si="19"/>
        <v>0.3898158048795247</v>
      </c>
    </row>
    <row r="120" spans="1:11" ht="12.75">
      <c r="A120" s="122">
        <v>75</v>
      </c>
      <c r="B120" s="22">
        <f t="shared" si="15"/>
        <v>303.75</v>
      </c>
      <c r="C120" s="11">
        <f t="shared" si="13"/>
        <v>1595.2</v>
      </c>
      <c r="D120" s="124">
        <f t="shared" si="16"/>
        <v>1653.9653593893263</v>
      </c>
      <c r="E120" s="91">
        <f t="shared" si="14"/>
        <v>5.445153446549222</v>
      </c>
      <c r="F120" s="129" t="str">
        <f t="shared" si="21"/>
        <v>RuN</v>
      </c>
      <c r="G120" s="127">
        <f t="shared" si="20"/>
        <v>92.71676212198788</v>
      </c>
      <c r="H120" s="128">
        <f t="shared" si="17"/>
        <v>1561.2485972673385</v>
      </c>
      <c r="I120" s="123"/>
      <c r="J120" s="157">
        <f t="shared" si="18"/>
        <v>0.22066493337224735</v>
      </c>
      <c r="K120" s="157">
        <f t="shared" si="19"/>
        <v>0.3898158048795247</v>
      </c>
    </row>
    <row r="121" spans="1:11" ht="12.75">
      <c r="A121" s="122">
        <v>69</v>
      </c>
      <c r="B121" s="22">
        <f t="shared" si="15"/>
        <v>310.5</v>
      </c>
      <c r="C121" s="11">
        <f t="shared" si="13"/>
        <v>1588</v>
      </c>
      <c r="D121" s="124">
        <f t="shared" si="16"/>
        <v>1658.2431178384384</v>
      </c>
      <c r="E121" s="91">
        <f t="shared" si="14"/>
        <v>5.340557545373392</v>
      </c>
      <c r="F121" s="129" t="str">
        <f t="shared" si="21"/>
        <v>RuN</v>
      </c>
      <c r="G121" s="127">
        <f t="shared" si="20"/>
        <v>94.77713461358762</v>
      </c>
      <c r="H121" s="128">
        <f t="shared" si="17"/>
        <v>1563.4659832248508</v>
      </c>
      <c r="I121" s="123"/>
      <c r="J121" s="157">
        <f t="shared" si="18"/>
        <v>0.22066493337224735</v>
      </c>
      <c r="K121" s="157">
        <f t="shared" si="19"/>
        <v>0.3898158048795247</v>
      </c>
    </row>
    <row r="122" spans="1:11" s="1" customFormat="1" ht="12.75">
      <c r="A122" s="130">
        <v>78</v>
      </c>
      <c r="B122" s="22">
        <f t="shared" si="15"/>
        <v>315.90000000000003</v>
      </c>
      <c r="C122" s="11">
        <v>16</v>
      </c>
      <c r="D122" s="132">
        <f t="shared" si="16"/>
        <v>111.29989530957548</v>
      </c>
      <c r="E122" s="133">
        <f t="shared" si="14"/>
        <v>0.3523263542563326</v>
      </c>
      <c r="F122" s="126" t="str">
        <f t="shared" si="21"/>
        <v>N</v>
      </c>
      <c r="G122" s="134">
        <f>D122</f>
        <v>111.29989530957548</v>
      </c>
      <c r="H122" s="119">
        <f t="shared" si="17"/>
        <v>0</v>
      </c>
      <c r="I122" s="131" t="s">
        <v>134</v>
      </c>
      <c r="J122" s="157">
        <f t="shared" si="18"/>
        <v>0.22066493337224735</v>
      </c>
      <c r="K122" s="157">
        <f t="shared" si="19"/>
        <v>0.3898158048795247</v>
      </c>
    </row>
    <row r="123" spans="1:11" ht="12.75">
      <c r="A123" s="122">
        <v>79</v>
      </c>
      <c r="B123" s="22">
        <f t="shared" si="15"/>
        <v>319.95000000000005</v>
      </c>
      <c r="C123" s="11">
        <f t="shared" si="13"/>
        <v>213.60000000000002</v>
      </c>
      <c r="D123" s="124">
        <f t="shared" si="16"/>
        <v>273.33673819764397</v>
      </c>
      <c r="E123" s="91">
        <f t="shared" si="14"/>
        <v>0.8543107929290324</v>
      </c>
      <c r="F123" s="129" t="str">
        <f t="shared" si="21"/>
        <v>RuN</v>
      </c>
      <c r="G123" s="127">
        <f t="shared" si="20"/>
        <v>97.66165610182725</v>
      </c>
      <c r="H123" s="128">
        <f t="shared" si="17"/>
        <v>175.67508209581672</v>
      </c>
      <c r="I123" s="123"/>
      <c r="J123" s="157">
        <f t="shared" si="18"/>
        <v>0.22066493337224735</v>
      </c>
      <c r="K123" s="157">
        <f t="shared" si="19"/>
        <v>0.3898158048795247</v>
      </c>
    </row>
    <row r="124" spans="1:11" s="154" customFormat="1" ht="12.75">
      <c r="A124" s="20">
        <v>72</v>
      </c>
      <c r="B124" s="22">
        <f t="shared" si="15"/>
        <v>324</v>
      </c>
      <c r="C124" s="11">
        <f>C$5*ROUND(ABS(SIN(A124+5)-1)*1000,0)</f>
        <v>0</v>
      </c>
      <c r="D124" s="4">
        <f t="shared" si="16"/>
        <v>87.62865234418796</v>
      </c>
      <c r="E124" s="71">
        <f t="shared" si="14"/>
        <v>0.2704588035314443</v>
      </c>
      <c r="F124" s="27" t="str">
        <f t="shared" si="21"/>
        <v>N</v>
      </c>
      <c r="G124" s="127">
        <f>D124</f>
        <v>87.62865234418796</v>
      </c>
      <c r="H124" s="48">
        <f t="shared" si="17"/>
        <v>0</v>
      </c>
      <c r="I124" s="21" t="s">
        <v>130</v>
      </c>
      <c r="J124" s="157">
        <f t="shared" si="18"/>
        <v>0.22066493337224735</v>
      </c>
      <c r="K124" s="157">
        <f t="shared" si="19"/>
        <v>0.3898158048795247</v>
      </c>
    </row>
    <row r="125" spans="1:11" ht="12.75">
      <c r="A125" s="122">
        <v>82</v>
      </c>
      <c r="B125" s="22">
        <f t="shared" si="15"/>
        <v>332.09999999999997</v>
      </c>
      <c r="C125" s="11">
        <f aca="true" t="shared" si="22" ref="C125:C131">C$5*ROUND(ABS(SIN(A125+5)-1)*1000,0)</f>
        <v>1457.6000000000001</v>
      </c>
      <c r="D125" s="124">
        <f t="shared" si="16"/>
        <v>1549.7867934375233</v>
      </c>
      <c r="E125" s="91">
        <f t="shared" si="14"/>
        <v>4.666626899841986</v>
      </c>
      <c r="F125" s="129" t="str">
        <f t="shared" si="21"/>
        <v>RuN</v>
      </c>
      <c r="G125" s="127">
        <f t="shared" si="20"/>
        <v>101.37032658670674</v>
      </c>
      <c r="H125" s="128">
        <f t="shared" si="17"/>
        <v>1448.4164668508165</v>
      </c>
      <c r="I125" s="123"/>
      <c r="J125" s="157">
        <f t="shared" si="18"/>
        <v>0.22066493337224735</v>
      </c>
      <c r="K125" s="157">
        <f t="shared" si="19"/>
        <v>0.3898158048795247</v>
      </c>
    </row>
    <row r="126" spans="1:11" ht="12.75">
      <c r="A126" s="122">
        <v>85</v>
      </c>
      <c r="B126" s="22">
        <f t="shared" si="15"/>
        <v>382.5</v>
      </c>
      <c r="C126" s="11">
        <f t="shared" si="22"/>
        <v>84.80000000000001</v>
      </c>
      <c r="D126" s="124">
        <f t="shared" si="16"/>
        <v>168.51812904435985</v>
      </c>
      <c r="E126" s="91">
        <f t="shared" si="14"/>
        <v>0.4405702720113983</v>
      </c>
      <c r="F126" s="129" t="str">
        <f t="shared" si="21"/>
        <v>RuN</v>
      </c>
      <c r="G126" s="127">
        <f t="shared" si="20"/>
        <v>116.7544411906514</v>
      </c>
      <c r="H126" s="128">
        <f t="shared" si="17"/>
        <v>51.76368785370845</v>
      </c>
      <c r="I126" s="123"/>
      <c r="J126" s="157">
        <f t="shared" si="18"/>
        <v>0.22066493337224735</v>
      </c>
      <c r="K126" s="157">
        <f t="shared" si="19"/>
        <v>0.3898158048795247</v>
      </c>
    </row>
    <row r="127" spans="1:11" s="1" customFormat="1" ht="12.75">
      <c r="A127" s="130">
        <v>97</v>
      </c>
      <c r="B127" s="22">
        <f t="shared" si="15"/>
        <v>392.84999999999997</v>
      </c>
      <c r="C127" s="11">
        <f t="shared" si="22"/>
        <v>4</v>
      </c>
      <c r="D127" s="132">
        <f t="shared" si="16"/>
        <v>116.17946803323542</v>
      </c>
      <c r="E127" s="133">
        <f t="shared" si="14"/>
        <v>0.2957349319924537</v>
      </c>
      <c r="F127" s="126" t="s">
        <v>54</v>
      </c>
      <c r="G127" s="134">
        <f>D127</f>
        <v>116.17946803323542</v>
      </c>
      <c r="H127" s="119">
        <f t="shared" si="17"/>
        <v>0</v>
      </c>
      <c r="I127" s="131" t="s">
        <v>134</v>
      </c>
      <c r="J127" s="157">
        <f t="shared" si="18"/>
        <v>0.22066493337224735</v>
      </c>
      <c r="K127" s="157">
        <f t="shared" si="19"/>
        <v>0.3898158048795247</v>
      </c>
    </row>
    <row r="128" spans="1:11" ht="12.75">
      <c r="A128" s="122">
        <v>88</v>
      </c>
      <c r="B128" s="22">
        <f t="shared" si="15"/>
        <v>396</v>
      </c>
      <c r="C128" s="11">
        <f t="shared" si="22"/>
        <v>1558.4</v>
      </c>
      <c r="D128" s="124">
        <f t="shared" si="16"/>
        <v>1655.1221273459037</v>
      </c>
      <c r="E128" s="91">
        <f>IF(B128&gt;0,D128/B128,10000)</f>
        <v>4.1796013316815745</v>
      </c>
      <c r="F128" s="129" t="str">
        <f t="shared" si="21"/>
        <v>RuN</v>
      </c>
      <c r="G128" s="127">
        <f t="shared" si="20"/>
        <v>120.87518617385086</v>
      </c>
      <c r="H128" s="128">
        <f>D128-G128</f>
        <v>1534.2469411720529</v>
      </c>
      <c r="I128" s="123"/>
      <c r="J128" s="157">
        <f t="shared" si="18"/>
        <v>0.22066493337224735</v>
      </c>
      <c r="K128" s="157">
        <f t="shared" si="19"/>
        <v>0.3898158048795247</v>
      </c>
    </row>
    <row r="129" spans="1:11" ht="12.75">
      <c r="A129" s="122">
        <v>100</v>
      </c>
      <c r="B129" s="22">
        <f t="shared" si="15"/>
        <v>405</v>
      </c>
      <c r="C129" s="11">
        <f t="shared" si="22"/>
        <v>1576.8000000000002</v>
      </c>
      <c r="D129" s="124">
        <f t="shared" si="16"/>
        <v>1649.390629842066</v>
      </c>
      <c r="E129" s="91">
        <f>IF(B129&gt;0,D129/B129,10000)</f>
        <v>4.072569456400163</v>
      </c>
      <c r="F129" s="129" t="str">
        <f t="shared" si="21"/>
        <v>RuN</v>
      </c>
      <c r="G129" s="127">
        <f t="shared" si="20"/>
        <v>123.62234949598384</v>
      </c>
      <c r="H129" s="128">
        <f>D129-G129</f>
        <v>1525.768280346082</v>
      </c>
      <c r="I129" s="123"/>
      <c r="J129" s="157">
        <f t="shared" si="18"/>
        <v>0.22066493337224735</v>
      </c>
      <c r="K129" s="157">
        <f t="shared" si="19"/>
        <v>0.3898158048795247</v>
      </c>
    </row>
    <row r="130" spans="1:11" s="1" customFormat="1" ht="12.75">
      <c r="A130" s="130">
        <v>91</v>
      </c>
      <c r="B130" s="22">
        <f t="shared" si="15"/>
        <v>409.5</v>
      </c>
      <c r="C130" s="11">
        <f t="shared" si="22"/>
        <v>12.8</v>
      </c>
      <c r="D130" s="132">
        <f t="shared" si="16"/>
        <v>116.28822632745184</v>
      </c>
      <c r="E130" s="133">
        <f>IF(B130&gt;0,D130/B130,10000)</f>
        <v>0.28397613266777005</v>
      </c>
      <c r="F130" s="126" t="str">
        <f t="shared" si="21"/>
        <v>N</v>
      </c>
      <c r="G130" s="134">
        <f>D130</f>
        <v>116.28822632745184</v>
      </c>
      <c r="H130" s="119">
        <f>D130-G130</f>
        <v>0</v>
      </c>
      <c r="I130" s="131" t="s">
        <v>134</v>
      </c>
      <c r="J130" s="157">
        <f t="shared" si="18"/>
        <v>0.22066493337224735</v>
      </c>
      <c r="K130" s="157">
        <f t="shared" si="19"/>
        <v>0.3898158048795247</v>
      </c>
    </row>
    <row r="131" spans="1:11" ht="13.5" thickBot="1">
      <c r="A131" s="141">
        <v>94</v>
      </c>
      <c r="B131" s="22">
        <f t="shared" si="15"/>
        <v>423.00000000000006</v>
      </c>
      <c r="C131" s="11">
        <f t="shared" si="22"/>
        <v>1599.2</v>
      </c>
      <c r="D131" s="124">
        <f t="shared" si="16"/>
        <v>1688.271009217662</v>
      </c>
      <c r="E131" s="143">
        <f>IF(B131&gt;0,D131/B131,10000)</f>
        <v>3.991184418954283</v>
      </c>
      <c r="F131" s="129" t="str">
        <f t="shared" si="21"/>
        <v>RuN</v>
      </c>
      <c r="G131" s="127">
        <f t="shared" si="20"/>
        <v>129.1166761402498</v>
      </c>
      <c r="H131" s="144">
        <f>D131-G131</f>
        <v>1559.154333077412</v>
      </c>
      <c r="I131" s="142"/>
      <c r="J131" s="157">
        <f t="shared" si="18"/>
        <v>0.22066493337224735</v>
      </c>
      <c r="K131" s="157">
        <f t="shared" si="19"/>
        <v>0.3898158048795247</v>
      </c>
    </row>
    <row r="132" spans="1:9" ht="13.5" thickBot="1">
      <c r="A132" s="145"/>
      <c r="B132" s="146">
        <f>SUM(B32:B131)</f>
        <v>13032.45</v>
      </c>
      <c r="C132" s="147">
        <f>SUM(C32:C131)</f>
        <v>78700.79999999999</v>
      </c>
      <c r="D132" s="148">
        <f>SUM(D32:D131)</f>
        <v>81844.24443801935</v>
      </c>
      <c r="E132" s="149">
        <f>MIN(E32:E131)</f>
        <v>0.2704588035314443</v>
      </c>
      <c r="F132" s="150" t="s">
        <v>0</v>
      </c>
      <c r="G132" s="148">
        <f>SUM(G32:G131)</f>
        <v>3971.4813965062376</v>
      </c>
      <c r="H132" s="148">
        <f>SUM(H32:H131)</f>
        <v>77184.81641476537</v>
      </c>
      <c r="I132" s="151" t="s">
        <v>8</v>
      </c>
    </row>
    <row r="133" spans="1:9" ht="13.5" thickBot="1">
      <c r="A133" s="10"/>
      <c r="B133" s="51" t="s">
        <v>95</v>
      </c>
      <c r="C133" s="50"/>
      <c r="D133" s="52" t="s">
        <v>96</v>
      </c>
      <c r="E133" s="60"/>
      <c r="G133" s="51" t="s">
        <v>97</v>
      </c>
      <c r="H133" s="51" t="s">
        <v>98</v>
      </c>
      <c r="I133" s="10"/>
    </row>
    <row r="135" ht="12.75">
      <c r="B135" t="s">
        <v>167</v>
      </c>
    </row>
  </sheetData>
  <mergeCells count="3">
    <mergeCell ref="B29:D29"/>
    <mergeCell ref="G29:H30"/>
    <mergeCell ref="I29:I30"/>
  </mergeCells>
  <printOptions/>
  <pageMargins left="0.75" right="0.75" top="1" bottom="1" header="0.5" footer="0.5"/>
  <pageSetup horizontalDpi="600" verticalDpi="600" orientation="portrait" paperSize="9" r:id="rId4"/>
  <headerFooter alignWithMargins="0">
    <oddHeader>&amp;LЗадача с двумя емкостями. Модель.&amp;R&amp;P</oddHeader>
  </headerFooter>
  <rowBreaks count="1" manualBreakCount="1">
    <brk id="134" max="255" man="1"/>
  </rowBreaks>
  <drawing r:id="rId3"/>
  <legacyDrawing r:id="rId2"/>
</worksheet>
</file>

<file path=xl/worksheets/sheet5.xml><?xml version="1.0" encoding="utf-8"?>
<worksheet xmlns="http://schemas.openxmlformats.org/spreadsheetml/2006/main" xmlns:r="http://schemas.openxmlformats.org/officeDocument/2006/relationships">
  <dimension ref="A1:L141"/>
  <sheetViews>
    <sheetView workbookViewId="0" topLeftCell="A2">
      <selection activeCell="A1" sqref="A1"/>
    </sheetView>
  </sheetViews>
  <sheetFormatPr defaultColWidth="9.00390625" defaultRowHeight="12.75"/>
  <cols>
    <col min="1" max="1" width="3.875" style="0" customWidth="1"/>
    <col min="2" max="2" width="6.25390625" style="0" customWidth="1"/>
    <col min="3" max="3" width="10.50390625" style="0" customWidth="1"/>
    <col min="4" max="4" width="11.50390625" style="2" customWidth="1"/>
    <col min="5" max="5" width="9.50390625" style="6" bestFit="1" customWidth="1"/>
    <col min="6" max="6" width="8.875" style="23" customWidth="1"/>
    <col min="7" max="7" width="8.50390625" style="0" customWidth="1"/>
    <col min="8" max="8" width="10.25390625" style="0" customWidth="1"/>
    <col min="9" max="9" width="17.625" style="0" customWidth="1"/>
    <col min="10" max="10" width="3.50390625" style="0" customWidth="1"/>
    <col min="11" max="11" width="3.125" style="0" customWidth="1"/>
  </cols>
  <sheetData>
    <row r="1" spans="7:9" ht="12.75" customHeight="1" hidden="1">
      <c r="G1" t="s">
        <v>4</v>
      </c>
      <c r="H1" t="s">
        <v>54</v>
      </c>
      <c r="I1" t="s">
        <v>329</v>
      </c>
    </row>
    <row r="2" spans="3:6" s="1" customFormat="1" ht="12.75">
      <c r="C2" s="1" t="s">
        <v>164</v>
      </c>
      <c r="D2" s="168"/>
      <c r="E2" s="169"/>
      <c r="F2" s="170"/>
    </row>
    <row r="3" spans="2:4" ht="12.75">
      <c r="B3" s="37" t="s">
        <v>66</v>
      </c>
      <c r="C3" s="188">
        <v>0.5</v>
      </c>
      <c r="D3" s="2" t="s">
        <v>101</v>
      </c>
    </row>
    <row r="4" spans="2:4" ht="12.75">
      <c r="B4" s="115" t="s">
        <v>160</v>
      </c>
      <c r="C4" s="90">
        <v>0.45</v>
      </c>
      <c r="D4" s="2" t="s">
        <v>162</v>
      </c>
    </row>
    <row r="5" spans="2:8" ht="12.75">
      <c r="B5" s="37" t="s">
        <v>1</v>
      </c>
      <c r="C5" s="188">
        <f>0.12</f>
        <v>0.12</v>
      </c>
      <c r="D5" s="56" t="s">
        <v>2</v>
      </c>
      <c r="E5" s="57" t="s">
        <v>102</v>
      </c>
      <c r="F5" s="58"/>
      <c r="G5" s="59"/>
      <c r="H5" s="59"/>
    </row>
    <row r="6" spans="2:8" ht="12.75">
      <c r="B6" s="37" t="s">
        <v>67</v>
      </c>
      <c r="C6" s="91">
        <f>E89</f>
        <v>0.31946892144257577</v>
      </c>
      <c r="D6" s="56" t="s">
        <v>140</v>
      </c>
      <c r="E6" s="57"/>
      <c r="F6" s="58"/>
      <c r="G6" s="59"/>
      <c r="H6" s="59"/>
    </row>
    <row r="7" spans="2:8" ht="12.75">
      <c r="B7" s="37" t="s">
        <v>68</v>
      </c>
      <c r="C7" s="91">
        <f>E109</f>
        <v>0.3495070301156199</v>
      </c>
      <c r="D7" s="56" t="s">
        <v>141</v>
      </c>
      <c r="E7" s="57"/>
      <c r="F7" s="58"/>
      <c r="G7" s="59"/>
      <c r="H7" s="59"/>
    </row>
    <row r="8" spans="2:8" ht="12.75">
      <c r="B8" s="37" t="s">
        <v>74</v>
      </c>
      <c r="C8" s="91">
        <f>E115</f>
        <v>0.3276958058520771</v>
      </c>
      <c r="D8" s="56" t="s">
        <v>142</v>
      </c>
      <c r="E8" s="57"/>
      <c r="F8" s="58"/>
      <c r="G8" s="59"/>
      <c r="H8" s="59"/>
    </row>
    <row r="9" spans="2:8" ht="12.75">
      <c r="B9" s="37" t="s">
        <v>145</v>
      </c>
      <c r="C9" s="91">
        <f>E134</f>
        <v>0.23414134515602594</v>
      </c>
      <c r="D9" s="56" t="s">
        <v>146</v>
      </c>
      <c r="E9" s="57"/>
      <c r="F9" s="58"/>
      <c r="G9" s="59"/>
      <c r="H9" s="59"/>
    </row>
    <row r="10" spans="2:4" ht="12.75">
      <c r="B10" s="92" t="s">
        <v>0</v>
      </c>
      <c r="C10" s="93">
        <f>D30</f>
        <v>0.2677832623629418</v>
      </c>
      <c r="D10" s="2" t="s">
        <v>84</v>
      </c>
    </row>
    <row r="11" spans="2:8" ht="12.75">
      <c r="B11" s="37" t="s">
        <v>19</v>
      </c>
      <c r="C11" s="94">
        <f>B140*C5/D140</f>
        <v>0.034103622825064704</v>
      </c>
      <c r="D11" s="56" t="s">
        <v>6</v>
      </c>
      <c r="E11" s="57" t="s">
        <v>99</v>
      </c>
      <c r="F11" s="58"/>
      <c r="G11" s="59"/>
      <c r="H11" s="59"/>
    </row>
    <row r="12" spans="2:8" ht="12.75">
      <c r="B12" s="37" t="s">
        <v>19</v>
      </c>
      <c r="C12" s="94">
        <f>G140/D140</f>
        <v>0.0738711362356976</v>
      </c>
      <c r="D12" s="56" t="s">
        <v>7</v>
      </c>
      <c r="E12" s="57" t="s">
        <v>100</v>
      </c>
      <c r="F12" s="58"/>
      <c r="G12" s="59"/>
      <c r="H12" s="59"/>
    </row>
    <row r="13" spans="2:8" ht="13.5" thickBot="1">
      <c r="B13" s="67"/>
      <c r="C13" s="68"/>
      <c r="D13" s="56"/>
      <c r="E13" s="57"/>
      <c r="F13" s="58"/>
      <c r="G13" s="59"/>
      <c r="H13" s="59"/>
    </row>
    <row r="14" spans="2:9" ht="12.75">
      <c r="B14" s="76"/>
      <c r="C14" s="77" t="s">
        <v>330</v>
      </c>
      <c r="D14" s="77"/>
      <c r="E14" s="77"/>
      <c r="F14" s="77"/>
      <c r="G14" s="77"/>
      <c r="H14" s="77"/>
      <c r="I14" s="78"/>
    </row>
    <row r="15" spans="2:9" ht="12.75">
      <c r="B15" s="108" t="s">
        <v>81</v>
      </c>
      <c r="C15" s="86" t="s">
        <v>144</v>
      </c>
      <c r="D15" s="87"/>
      <c r="E15" s="87" t="s">
        <v>129</v>
      </c>
      <c r="F15" s="87"/>
      <c r="G15" s="87"/>
      <c r="H15" s="87"/>
      <c r="I15" s="109"/>
    </row>
    <row r="16" spans="2:9" ht="12.75">
      <c r="B16" s="79"/>
      <c r="C16" s="59" t="s">
        <v>0</v>
      </c>
      <c r="D16" s="81">
        <f>AVERAGE(C$6,C$7,C$8,C$9)</f>
        <v>0.3077032756415747</v>
      </c>
      <c r="E16" s="59" t="s">
        <v>71</v>
      </c>
      <c r="F16" s="59"/>
      <c r="G16" s="59"/>
      <c r="H16" s="59"/>
      <c r="I16" s="80"/>
    </row>
    <row r="17" spans="2:9" ht="12.75">
      <c r="B17" s="79"/>
      <c r="C17" s="59" t="s">
        <v>72</v>
      </c>
      <c r="D17" s="81">
        <f>STDEVP(C$6,C$7,C$8,C$9)</f>
        <v>0.043866397134422454</v>
      </c>
      <c r="E17" s="59" t="s">
        <v>122</v>
      </c>
      <c r="F17" s="59"/>
      <c r="G17" s="59"/>
      <c r="H17" s="59"/>
      <c r="I17" s="80"/>
    </row>
    <row r="18" spans="2:11" ht="12.75">
      <c r="B18" s="79"/>
      <c r="C18" s="121" t="s">
        <v>158</v>
      </c>
      <c r="D18" s="68">
        <f>D17/D16</f>
        <v>0.142560708991346</v>
      </c>
      <c r="E18" s="121" t="s">
        <v>123</v>
      </c>
      <c r="F18" s="121"/>
      <c r="G18" s="121"/>
      <c r="H18" s="121" t="s">
        <v>153</v>
      </c>
      <c r="I18" s="171" t="s">
        <v>155</v>
      </c>
      <c r="J18" s="69"/>
      <c r="K18" s="69"/>
    </row>
    <row r="19" spans="2:9" ht="12.75">
      <c r="B19" s="79"/>
      <c r="C19" s="121"/>
      <c r="D19" s="81">
        <f>D16-3*D17</f>
        <v>0.1761040842383073</v>
      </c>
      <c r="E19" s="121" t="s">
        <v>150</v>
      </c>
      <c r="F19" s="59"/>
      <c r="G19" s="59"/>
      <c r="H19" s="59"/>
      <c r="I19" s="80"/>
    </row>
    <row r="20" spans="2:9" ht="13.5" thickBot="1">
      <c r="B20" s="79"/>
      <c r="C20" s="59"/>
      <c r="D20" s="81">
        <f>D16+3*D17</f>
        <v>0.43930246704484205</v>
      </c>
      <c r="E20" s="59" t="s">
        <v>126</v>
      </c>
      <c r="F20" s="59"/>
      <c r="G20" s="59"/>
      <c r="H20" s="59"/>
      <c r="I20" s="80"/>
    </row>
    <row r="21" spans="2:9" ht="12.75">
      <c r="B21" s="163" t="s">
        <v>76</v>
      </c>
      <c r="C21" s="77" t="s">
        <v>151</v>
      </c>
      <c r="D21" s="164"/>
      <c r="E21" s="77"/>
      <c r="F21" s="77"/>
      <c r="G21" s="77"/>
      <c r="H21" s="77"/>
      <c r="I21" s="78"/>
    </row>
    <row r="22" spans="2:9" ht="12.75">
      <c r="B22" s="79"/>
      <c r="C22" s="67" t="s">
        <v>148</v>
      </c>
      <c r="D22" s="59"/>
      <c r="E22" s="59"/>
      <c r="F22" s="58"/>
      <c r="G22" s="59"/>
      <c r="H22" s="59"/>
      <c r="I22" s="80"/>
    </row>
    <row r="23" spans="2:9" ht="12.75">
      <c r="B23" s="79"/>
      <c r="C23" s="59" t="s">
        <v>0</v>
      </c>
      <c r="D23" s="81">
        <f>AVERAGE(C$6,C$7,C$8,C$9,E$95,E$68,E$122,E$123,E$126,E$130)</f>
        <v>0.2951952686446707</v>
      </c>
      <c r="E23" s="59" t="s">
        <v>71</v>
      </c>
      <c r="F23" s="59"/>
      <c r="G23" s="59"/>
      <c r="H23" s="59"/>
      <c r="I23" s="80"/>
    </row>
    <row r="24" spans="2:9" ht="12.75">
      <c r="B24" s="79"/>
      <c r="C24" s="59" t="s">
        <v>72</v>
      </c>
      <c r="D24" s="81">
        <f>STDEVP(C$6,C$7,C$8,C$9,E$95,E$68,E$122,E$123,E$126,E$130)</f>
        <v>0.07119608841741283</v>
      </c>
      <c r="E24" s="59" t="s">
        <v>122</v>
      </c>
      <c r="F24" s="59"/>
      <c r="G24" s="59"/>
      <c r="H24" s="59"/>
      <c r="I24" s="80"/>
    </row>
    <row r="25" spans="2:11" ht="12.75">
      <c r="B25" s="79"/>
      <c r="C25" s="121" t="s">
        <v>158</v>
      </c>
      <c r="D25" s="68">
        <f>D24/D23</f>
        <v>0.24118302689706123</v>
      </c>
      <c r="E25" s="121" t="s">
        <v>123</v>
      </c>
      <c r="F25" s="121"/>
      <c r="G25" s="121"/>
      <c r="H25" s="121" t="s">
        <v>153</v>
      </c>
      <c r="I25" s="171" t="s">
        <v>155</v>
      </c>
      <c r="J25" s="69"/>
      <c r="K25" s="69"/>
    </row>
    <row r="26" spans="2:9" ht="12.75">
      <c r="B26" s="79"/>
      <c r="C26" s="121"/>
      <c r="D26" s="81">
        <f>D23-3*D24</f>
        <v>0.08160700339243221</v>
      </c>
      <c r="E26" s="121" t="s">
        <v>150</v>
      </c>
      <c r="F26" s="59"/>
      <c r="G26" s="59"/>
      <c r="H26" s="59"/>
      <c r="I26" s="80"/>
    </row>
    <row r="27" spans="2:9" ht="13.5" thickBot="1">
      <c r="B27" s="79"/>
      <c r="C27" s="59"/>
      <c r="D27" s="81">
        <f>D23+3*D24</f>
        <v>0.5087835338969092</v>
      </c>
      <c r="E27" s="59" t="s">
        <v>126</v>
      </c>
      <c r="F27" s="59"/>
      <c r="G27" s="59"/>
      <c r="H27" s="59"/>
      <c r="I27" s="80"/>
    </row>
    <row r="28" spans="2:9" ht="12.75">
      <c r="B28" s="163" t="s">
        <v>78</v>
      </c>
      <c r="C28" s="77" t="s">
        <v>151</v>
      </c>
      <c r="D28" s="164"/>
      <c r="E28" s="77"/>
      <c r="F28" s="77"/>
      <c r="G28" s="77"/>
      <c r="H28" s="77"/>
      <c r="I28" s="78"/>
    </row>
    <row r="29" spans="2:9" ht="12.75">
      <c r="B29" s="79"/>
      <c r="C29" s="67" t="s">
        <v>149</v>
      </c>
      <c r="D29" s="59"/>
      <c r="E29" s="59"/>
      <c r="F29" s="58"/>
      <c r="G29" s="59"/>
      <c r="H29" s="59"/>
      <c r="I29" s="80"/>
    </row>
    <row r="30" spans="2:9" ht="12.75">
      <c r="B30" s="79"/>
      <c r="C30" s="59" t="s">
        <v>0</v>
      </c>
      <c r="D30" s="81">
        <f>AVERAGE(C$6,C$7,C$8,C$9,E$95,E$68,E$122,E$123,E$126,E$130,E$59,E$93,E$99,E$114,E$116,E$131,E$132,E$138)</f>
        <v>0.2677832623629418</v>
      </c>
      <c r="E30" s="59" t="s">
        <v>71</v>
      </c>
      <c r="F30" s="59"/>
      <c r="G30" s="59"/>
      <c r="H30" s="59"/>
      <c r="I30" s="80"/>
    </row>
    <row r="31" spans="2:9" ht="12.75">
      <c r="B31" s="79"/>
      <c r="C31" s="59" t="s">
        <v>72</v>
      </c>
      <c r="D31" s="81">
        <f>STDEVP(C$6,C$7,C$8,C$9,E$95,E$68,E$122,E$123,E$126,E$130,E$59,E$93,E$99,E$114,E$116,E$131,E$132,E$138)</f>
        <v>0.11396182764974111</v>
      </c>
      <c r="E31" s="59" t="s">
        <v>122</v>
      </c>
      <c r="F31" s="59"/>
      <c r="G31" s="59"/>
      <c r="H31" s="59"/>
      <c r="I31" s="80"/>
    </row>
    <row r="32" spans="2:12" ht="12.75">
      <c r="B32" s="79"/>
      <c r="C32" s="121" t="s">
        <v>158</v>
      </c>
      <c r="D32" s="156">
        <f>D31/D30</f>
        <v>0.4255748721713689</v>
      </c>
      <c r="E32" s="155" t="s">
        <v>123</v>
      </c>
      <c r="F32" s="155"/>
      <c r="G32" s="155"/>
      <c r="H32" s="155" t="s">
        <v>154</v>
      </c>
      <c r="I32" s="172" t="s">
        <v>156</v>
      </c>
      <c r="J32" s="173"/>
      <c r="K32" s="173"/>
      <c r="L32" s="173"/>
    </row>
    <row r="33" spans="2:9" ht="12.75">
      <c r="B33" s="79"/>
      <c r="C33" s="59"/>
      <c r="D33" s="81">
        <f>MAX(0,D30-3*D31)</f>
        <v>0</v>
      </c>
      <c r="E33" s="121" t="s">
        <v>150</v>
      </c>
      <c r="F33" s="59"/>
      <c r="G33" s="59"/>
      <c r="H33" s="59"/>
      <c r="I33" s="80"/>
    </row>
    <row r="34" spans="2:9" ht="13.5" thickBot="1">
      <c r="B34" s="82"/>
      <c r="C34" s="83"/>
      <c r="D34" s="84">
        <f>D30+3*D31</f>
        <v>0.6096687453121652</v>
      </c>
      <c r="E34" s="83" t="s">
        <v>126</v>
      </c>
      <c r="F34" s="83"/>
      <c r="G34" s="83"/>
      <c r="H34" s="83"/>
      <c r="I34" s="85"/>
    </row>
    <row r="35" spans="2:9" ht="12.75">
      <c r="B35" s="59"/>
      <c r="C35" s="59"/>
      <c r="D35" s="81"/>
      <c r="E35" s="59"/>
      <c r="F35" s="59"/>
      <c r="G35" s="59"/>
      <c r="H35" s="59"/>
      <c r="I35" s="59"/>
    </row>
    <row r="36" spans="2:8" ht="15" customHeight="1">
      <c r="B36" s="67"/>
      <c r="C36" s="68"/>
      <c r="D36" s="56"/>
      <c r="E36" s="57"/>
      <c r="F36" s="58"/>
      <c r="G36" s="59"/>
      <c r="H36" s="59"/>
    </row>
    <row r="37" spans="1:10" ht="24.75" customHeight="1">
      <c r="A37" s="115"/>
      <c r="B37" s="693" t="s">
        <v>87</v>
      </c>
      <c r="C37" s="694"/>
      <c r="D37" s="695"/>
      <c r="E37" s="7"/>
      <c r="F37" s="117"/>
      <c r="G37" s="696" t="s">
        <v>88</v>
      </c>
      <c r="H37" s="697"/>
      <c r="I37" s="691" t="s">
        <v>29</v>
      </c>
      <c r="J37" t="s">
        <v>138</v>
      </c>
    </row>
    <row r="38" spans="1:9" ht="12.75">
      <c r="A38" s="115"/>
      <c r="B38" s="116"/>
      <c r="C38" s="115"/>
      <c r="D38" s="34" t="s">
        <v>94</v>
      </c>
      <c r="E38" s="7"/>
      <c r="F38" s="118" t="s">
        <v>3</v>
      </c>
      <c r="G38" s="683"/>
      <c r="H38" s="684"/>
      <c r="I38" s="692"/>
    </row>
    <row r="39" spans="1:11" ht="12.75">
      <c r="A39" s="95" t="s">
        <v>18</v>
      </c>
      <c r="B39" s="96" t="s">
        <v>91</v>
      </c>
      <c r="C39" s="97" t="s">
        <v>90</v>
      </c>
      <c r="D39" s="98" t="s">
        <v>92</v>
      </c>
      <c r="E39" s="99" t="s">
        <v>93</v>
      </c>
      <c r="F39" s="25"/>
      <c r="G39" s="36" t="s">
        <v>89</v>
      </c>
      <c r="H39" s="448" t="s">
        <v>90</v>
      </c>
      <c r="I39" s="35"/>
      <c r="J39" t="s">
        <v>136</v>
      </c>
      <c r="K39" t="s">
        <v>137</v>
      </c>
    </row>
    <row r="40" spans="1:11" ht="12.75">
      <c r="A40" s="135">
        <v>11</v>
      </c>
      <c r="B40" s="22">
        <f>A40*C$4*ABS(ROUND(COS(A40)*10,0))</f>
        <v>0</v>
      </c>
      <c r="C40" s="11">
        <f>C$4*ROUND(ABS(SIN(A40+5)-1)*1000,0)</f>
        <v>579.6</v>
      </c>
      <c r="D40" s="137">
        <f aca="true" t="shared" si="0" ref="D40:D71">C40+B40*(C$5*(1+C$3*SIN(A40)))</f>
        <v>579.6</v>
      </c>
      <c r="E40" s="158">
        <f aca="true" t="shared" si="1" ref="E40:E71">IF(B40&gt;0,D40/B40,10000)</f>
        <v>10000</v>
      </c>
      <c r="F40" s="129" t="str">
        <f aca="true" t="shared" si="2" ref="F40:F71">IF(E40=10000,G$1,IF(D40=G40,H$1,I$1))</f>
        <v>R</v>
      </c>
      <c r="G40" s="139">
        <f aca="true" t="shared" si="3" ref="G40:G103">B40*C$10</f>
        <v>0</v>
      </c>
      <c r="H40" s="140">
        <f aca="true" t="shared" si="4" ref="H40:H71">D40-G40</f>
        <v>579.6</v>
      </c>
      <c r="I40" s="136"/>
      <c r="J40" s="157">
        <f>D$33</f>
        <v>0</v>
      </c>
      <c r="K40" s="157">
        <f>D$34</f>
        <v>0.6096687453121652</v>
      </c>
    </row>
    <row r="41" spans="1:11" ht="12.75">
      <c r="A41" s="135">
        <v>33</v>
      </c>
      <c r="B41" s="22">
        <f aca="true" t="shared" si="5" ref="B41:B104">A41*C$4*ABS(ROUND(COS(A41)*10,0))</f>
        <v>0</v>
      </c>
      <c r="C41" s="11">
        <f aca="true" t="shared" si="6" ref="C41:C104">C$4*ROUND(ABS(SIN(A41+5)-1)*1000,0)</f>
        <v>316.8</v>
      </c>
      <c r="D41" s="137">
        <f t="shared" si="0"/>
        <v>316.8</v>
      </c>
      <c r="E41" s="158">
        <f t="shared" si="1"/>
        <v>10000</v>
      </c>
      <c r="F41" s="129" t="str">
        <f t="shared" si="2"/>
        <v>R</v>
      </c>
      <c r="G41" s="139">
        <f t="shared" si="3"/>
        <v>0</v>
      </c>
      <c r="H41" s="140">
        <f t="shared" si="4"/>
        <v>316.8</v>
      </c>
      <c r="I41" s="136"/>
      <c r="J41" s="157">
        <f aca="true" t="shared" si="7" ref="J41:J104">D$33</f>
        <v>0</v>
      </c>
      <c r="K41" s="157">
        <f aca="true" t="shared" si="8" ref="K41:K104">D$34</f>
        <v>0.6096687453121652</v>
      </c>
    </row>
    <row r="42" spans="1:11" ht="12.75">
      <c r="A42" s="135">
        <v>55</v>
      </c>
      <c r="B42" s="22">
        <f t="shared" si="5"/>
        <v>0</v>
      </c>
      <c r="C42" s="11">
        <f t="shared" si="6"/>
        <v>587.25</v>
      </c>
      <c r="D42" s="137">
        <f t="shared" si="0"/>
        <v>587.25</v>
      </c>
      <c r="E42" s="158">
        <f t="shared" si="1"/>
        <v>10000</v>
      </c>
      <c r="F42" s="129" t="str">
        <f t="shared" si="2"/>
        <v>R</v>
      </c>
      <c r="G42" s="139">
        <f t="shared" si="3"/>
        <v>0</v>
      </c>
      <c r="H42" s="140">
        <f t="shared" si="4"/>
        <v>587.25</v>
      </c>
      <c r="I42" s="136"/>
      <c r="J42" s="157">
        <f t="shared" si="7"/>
        <v>0</v>
      </c>
      <c r="K42" s="157">
        <f t="shared" si="8"/>
        <v>0.6096687453121652</v>
      </c>
    </row>
    <row r="43" spans="1:11" ht="12.75">
      <c r="A43" s="135">
        <v>77</v>
      </c>
      <c r="B43" s="22">
        <f t="shared" si="5"/>
        <v>0</v>
      </c>
      <c r="C43" s="11">
        <f t="shared" si="6"/>
        <v>309.15000000000003</v>
      </c>
      <c r="D43" s="137">
        <f t="shared" si="0"/>
        <v>309.15000000000003</v>
      </c>
      <c r="E43" s="158">
        <f t="shared" si="1"/>
        <v>10000</v>
      </c>
      <c r="F43" s="129" t="str">
        <f t="shared" si="2"/>
        <v>R</v>
      </c>
      <c r="G43" s="139">
        <f t="shared" si="3"/>
        <v>0</v>
      </c>
      <c r="H43" s="140">
        <f t="shared" si="4"/>
        <v>309.15000000000003</v>
      </c>
      <c r="I43" s="136"/>
      <c r="J43" s="157">
        <f t="shared" si="7"/>
        <v>0</v>
      </c>
      <c r="K43" s="157">
        <f t="shared" si="8"/>
        <v>0.6096687453121652</v>
      </c>
    </row>
    <row r="44" spans="1:11" ht="12.75">
      <c r="A44" s="135">
        <v>99</v>
      </c>
      <c r="B44" s="22">
        <f t="shared" si="5"/>
        <v>0</v>
      </c>
      <c r="C44" s="11">
        <f t="shared" si="6"/>
        <v>594.9</v>
      </c>
      <c r="D44" s="137">
        <f t="shared" si="0"/>
        <v>594.9</v>
      </c>
      <c r="E44" s="158">
        <f t="shared" si="1"/>
        <v>10000</v>
      </c>
      <c r="F44" s="129" t="str">
        <f t="shared" si="2"/>
        <v>R</v>
      </c>
      <c r="G44" s="139">
        <f t="shared" si="3"/>
        <v>0</v>
      </c>
      <c r="H44" s="140">
        <f t="shared" si="4"/>
        <v>594.9</v>
      </c>
      <c r="I44" s="136"/>
      <c r="J44" s="157">
        <f t="shared" si="7"/>
        <v>0</v>
      </c>
      <c r="K44" s="157">
        <f t="shared" si="8"/>
        <v>0.6096687453121652</v>
      </c>
    </row>
    <row r="45" spans="1:11" ht="12.75">
      <c r="A45" s="135">
        <v>14</v>
      </c>
      <c r="B45" s="22">
        <v>0</v>
      </c>
      <c r="C45" s="11">
        <f t="shared" si="6"/>
        <v>382.5</v>
      </c>
      <c r="D45" s="137">
        <f t="shared" si="0"/>
        <v>382.5</v>
      </c>
      <c r="E45" s="158">
        <f t="shared" si="1"/>
        <v>10000</v>
      </c>
      <c r="F45" s="129" t="str">
        <f t="shared" si="2"/>
        <v>R</v>
      </c>
      <c r="G45" s="139">
        <f t="shared" si="3"/>
        <v>0</v>
      </c>
      <c r="H45" s="140">
        <f t="shared" si="4"/>
        <v>382.5</v>
      </c>
      <c r="I45" s="136"/>
      <c r="J45" s="157">
        <f t="shared" si="7"/>
        <v>0</v>
      </c>
      <c r="K45" s="157">
        <f t="shared" si="8"/>
        <v>0.6096687453121652</v>
      </c>
    </row>
    <row r="46" spans="1:11" ht="12.75">
      <c r="A46" s="135">
        <v>30</v>
      </c>
      <c r="B46" s="22">
        <v>0</v>
      </c>
      <c r="C46" s="11">
        <f t="shared" si="6"/>
        <v>642.6</v>
      </c>
      <c r="D46" s="137">
        <f t="shared" si="0"/>
        <v>642.6</v>
      </c>
      <c r="E46" s="158">
        <f t="shared" si="1"/>
        <v>10000</v>
      </c>
      <c r="F46" s="129" t="str">
        <f t="shared" si="2"/>
        <v>R</v>
      </c>
      <c r="G46" s="139">
        <f t="shared" si="3"/>
        <v>0</v>
      </c>
      <c r="H46" s="140">
        <f t="shared" si="4"/>
        <v>642.6</v>
      </c>
      <c r="I46" s="136"/>
      <c r="J46" s="157">
        <f t="shared" si="7"/>
        <v>0</v>
      </c>
      <c r="K46" s="157">
        <f t="shared" si="8"/>
        <v>0.6096687453121652</v>
      </c>
    </row>
    <row r="47" spans="1:11" ht="12.75">
      <c r="A47" s="135">
        <v>13</v>
      </c>
      <c r="B47" s="22">
        <v>0</v>
      </c>
      <c r="C47" s="11">
        <f t="shared" si="6"/>
        <v>787.95</v>
      </c>
      <c r="D47" s="137">
        <f t="shared" si="0"/>
        <v>787.95</v>
      </c>
      <c r="E47" s="158">
        <f t="shared" si="1"/>
        <v>10000</v>
      </c>
      <c r="F47" s="129" t="str">
        <f t="shared" si="2"/>
        <v>R</v>
      </c>
      <c r="G47" s="139">
        <f t="shared" si="3"/>
        <v>0</v>
      </c>
      <c r="H47" s="140">
        <f t="shared" si="4"/>
        <v>787.95</v>
      </c>
      <c r="I47" s="136"/>
      <c r="J47" s="157">
        <f t="shared" si="7"/>
        <v>0</v>
      </c>
      <c r="K47" s="157">
        <f t="shared" si="8"/>
        <v>0.6096687453121652</v>
      </c>
    </row>
    <row r="48" spans="1:11" ht="12.75">
      <c r="A48" s="135">
        <v>96</v>
      </c>
      <c r="B48" s="22">
        <v>0</v>
      </c>
      <c r="C48" s="11">
        <f t="shared" si="6"/>
        <v>246.6</v>
      </c>
      <c r="D48" s="137">
        <f t="shared" si="0"/>
        <v>246.6</v>
      </c>
      <c r="E48" s="158">
        <f t="shared" si="1"/>
        <v>10000</v>
      </c>
      <c r="F48" s="129" t="str">
        <f t="shared" si="2"/>
        <v>R</v>
      </c>
      <c r="G48" s="139">
        <f t="shared" si="3"/>
        <v>0</v>
      </c>
      <c r="H48" s="140">
        <f t="shared" si="4"/>
        <v>246.6</v>
      </c>
      <c r="I48" s="136"/>
      <c r="J48" s="157">
        <f t="shared" si="7"/>
        <v>0</v>
      </c>
      <c r="K48" s="157">
        <f t="shared" si="8"/>
        <v>0.6096687453121652</v>
      </c>
    </row>
    <row r="49" spans="1:11" ht="12.75">
      <c r="A49" s="135">
        <v>37</v>
      </c>
      <c r="B49" s="22">
        <v>0</v>
      </c>
      <c r="C49" s="11">
        <f t="shared" si="6"/>
        <v>862.65</v>
      </c>
      <c r="D49" s="137">
        <f t="shared" si="0"/>
        <v>862.65</v>
      </c>
      <c r="E49" s="158">
        <f t="shared" si="1"/>
        <v>10000</v>
      </c>
      <c r="F49" s="129" t="str">
        <f t="shared" si="2"/>
        <v>R</v>
      </c>
      <c r="G49" s="139">
        <f t="shared" si="3"/>
        <v>0</v>
      </c>
      <c r="H49" s="140">
        <f t="shared" si="4"/>
        <v>862.65</v>
      </c>
      <c r="I49" s="136"/>
      <c r="J49" s="157">
        <f t="shared" si="7"/>
        <v>0</v>
      </c>
      <c r="K49" s="157">
        <f t="shared" si="8"/>
        <v>0.6096687453121652</v>
      </c>
    </row>
    <row r="50" spans="1:11" ht="12.75">
      <c r="A50" s="135">
        <v>70</v>
      </c>
      <c r="B50" s="22">
        <v>0</v>
      </c>
      <c r="C50" s="11">
        <f t="shared" si="6"/>
        <v>624.6</v>
      </c>
      <c r="D50" s="137">
        <f t="shared" si="0"/>
        <v>624.6</v>
      </c>
      <c r="E50" s="158">
        <f t="shared" si="1"/>
        <v>10000</v>
      </c>
      <c r="F50" s="129" t="str">
        <f t="shared" si="2"/>
        <v>R</v>
      </c>
      <c r="G50" s="139">
        <f t="shared" si="3"/>
        <v>0</v>
      </c>
      <c r="H50" s="140">
        <f t="shared" si="4"/>
        <v>624.6</v>
      </c>
      <c r="I50" s="136"/>
      <c r="J50" s="157">
        <f t="shared" si="7"/>
        <v>0</v>
      </c>
      <c r="K50" s="157">
        <f t="shared" si="8"/>
        <v>0.6096687453121652</v>
      </c>
    </row>
    <row r="51" spans="1:11" ht="12.75">
      <c r="A51" s="135">
        <v>73</v>
      </c>
      <c r="B51" s="22">
        <v>0</v>
      </c>
      <c r="C51" s="11">
        <f t="shared" si="6"/>
        <v>218.70000000000002</v>
      </c>
      <c r="D51" s="137">
        <f t="shared" si="0"/>
        <v>218.70000000000002</v>
      </c>
      <c r="E51" s="158">
        <f t="shared" si="1"/>
        <v>10000</v>
      </c>
      <c r="F51" s="129" t="str">
        <f t="shared" si="2"/>
        <v>R</v>
      </c>
      <c r="G51" s="139">
        <f t="shared" si="3"/>
        <v>0</v>
      </c>
      <c r="H51" s="140">
        <f t="shared" si="4"/>
        <v>218.70000000000002</v>
      </c>
      <c r="I51" s="136"/>
      <c r="J51" s="157">
        <f t="shared" si="7"/>
        <v>0</v>
      </c>
      <c r="K51" s="157">
        <f t="shared" si="8"/>
        <v>0.6096687453121652</v>
      </c>
    </row>
    <row r="52" spans="1:11" ht="12.75">
      <c r="A52" s="135">
        <v>81</v>
      </c>
      <c r="B52" s="22">
        <v>0</v>
      </c>
      <c r="C52" s="11">
        <f t="shared" si="6"/>
        <v>865.35</v>
      </c>
      <c r="D52" s="137">
        <f t="shared" si="0"/>
        <v>865.35</v>
      </c>
      <c r="E52" s="158">
        <f t="shared" si="1"/>
        <v>10000</v>
      </c>
      <c r="F52" s="129" t="str">
        <f t="shared" si="2"/>
        <v>R</v>
      </c>
      <c r="G52" s="139">
        <f t="shared" si="3"/>
        <v>0</v>
      </c>
      <c r="H52" s="140">
        <f t="shared" si="4"/>
        <v>865.35</v>
      </c>
      <c r="I52" s="136"/>
      <c r="J52" s="157">
        <f t="shared" si="7"/>
        <v>0</v>
      </c>
      <c r="K52" s="157">
        <f t="shared" si="8"/>
        <v>0.6096687453121652</v>
      </c>
    </row>
    <row r="53" spans="1:11" ht="12.75">
      <c r="A53" s="135">
        <v>98</v>
      </c>
      <c r="B53" s="22">
        <v>0</v>
      </c>
      <c r="C53" s="11">
        <f t="shared" si="6"/>
        <v>169.65</v>
      </c>
      <c r="D53" s="137">
        <f t="shared" si="0"/>
        <v>169.65</v>
      </c>
      <c r="E53" s="158">
        <f t="shared" si="1"/>
        <v>10000</v>
      </c>
      <c r="F53" s="129" t="str">
        <f t="shared" si="2"/>
        <v>R</v>
      </c>
      <c r="G53" s="139">
        <f t="shared" si="3"/>
        <v>0</v>
      </c>
      <c r="H53" s="140">
        <f t="shared" si="4"/>
        <v>169.65</v>
      </c>
      <c r="I53" s="136"/>
      <c r="J53" s="157">
        <f t="shared" si="7"/>
        <v>0</v>
      </c>
      <c r="K53" s="157">
        <f t="shared" si="8"/>
        <v>0.6096687453121652</v>
      </c>
    </row>
    <row r="54" spans="1:11" s="69" customFormat="1" ht="12.75">
      <c r="A54" s="135">
        <v>1</v>
      </c>
      <c r="B54" s="22">
        <f t="shared" si="5"/>
        <v>2.25</v>
      </c>
      <c r="C54" s="11">
        <f t="shared" si="6"/>
        <v>575.5500000000001</v>
      </c>
      <c r="D54" s="137">
        <f t="shared" si="0"/>
        <v>575.9335985829491</v>
      </c>
      <c r="E54" s="138">
        <f t="shared" si="1"/>
        <v>255.97048825908848</v>
      </c>
      <c r="F54" s="129" t="str">
        <f t="shared" si="2"/>
        <v>RuN</v>
      </c>
      <c r="G54" s="139">
        <f t="shared" si="3"/>
        <v>0.602512340316619</v>
      </c>
      <c r="H54" s="140">
        <f t="shared" si="4"/>
        <v>575.3310862426325</v>
      </c>
      <c r="I54" s="136"/>
      <c r="J54" s="157">
        <f t="shared" si="7"/>
        <v>0</v>
      </c>
      <c r="K54" s="157">
        <f t="shared" si="8"/>
        <v>0.6096687453121652</v>
      </c>
    </row>
    <row r="55" spans="1:11" ht="12.75">
      <c r="A55" s="135">
        <v>2</v>
      </c>
      <c r="B55" s="22">
        <f t="shared" si="5"/>
        <v>3.6</v>
      </c>
      <c r="C55" s="11">
        <f t="shared" si="6"/>
        <v>154.35</v>
      </c>
      <c r="D55" s="137">
        <f t="shared" si="0"/>
        <v>154.97840824419436</v>
      </c>
      <c r="E55" s="138">
        <f t="shared" si="1"/>
        <v>43.04955784560954</v>
      </c>
      <c r="F55" s="129" t="str">
        <f t="shared" si="2"/>
        <v>RuN</v>
      </c>
      <c r="G55" s="139">
        <f t="shared" si="3"/>
        <v>0.9640197445065906</v>
      </c>
      <c r="H55" s="140">
        <f t="shared" si="4"/>
        <v>154.01438849968775</v>
      </c>
      <c r="I55" s="136"/>
      <c r="J55" s="157">
        <f t="shared" si="7"/>
        <v>0</v>
      </c>
      <c r="K55" s="157">
        <f t="shared" si="8"/>
        <v>0.6096687453121652</v>
      </c>
    </row>
    <row r="56" spans="1:11" ht="12.75">
      <c r="A56" s="135">
        <v>8</v>
      </c>
      <c r="B56" s="22">
        <f t="shared" si="5"/>
        <v>3.6</v>
      </c>
      <c r="C56" s="11">
        <f t="shared" si="6"/>
        <v>261</v>
      </c>
      <c r="D56" s="137">
        <f t="shared" si="0"/>
        <v>261.64570138127067</v>
      </c>
      <c r="E56" s="138">
        <f t="shared" si="1"/>
        <v>72.6793614947974</v>
      </c>
      <c r="F56" s="129" t="str">
        <f t="shared" si="2"/>
        <v>RuN</v>
      </c>
      <c r="G56" s="139">
        <f t="shared" si="3"/>
        <v>0.9640197445065906</v>
      </c>
      <c r="H56" s="140">
        <f t="shared" si="4"/>
        <v>260.6816816367641</v>
      </c>
      <c r="I56" s="136"/>
      <c r="J56" s="157">
        <f t="shared" si="7"/>
        <v>0</v>
      </c>
      <c r="K56" s="157">
        <f t="shared" si="8"/>
        <v>0.6096687453121652</v>
      </c>
    </row>
    <row r="57" spans="1:11" ht="12.75">
      <c r="A57" s="135">
        <v>5</v>
      </c>
      <c r="B57" s="22">
        <f t="shared" si="5"/>
        <v>6.75</v>
      </c>
      <c r="C57" s="11">
        <f t="shared" si="6"/>
        <v>694.8000000000001</v>
      </c>
      <c r="D57" s="137">
        <f t="shared" si="0"/>
        <v>695.2216356687615</v>
      </c>
      <c r="E57" s="138">
        <f t="shared" si="1"/>
        <v>102.99579787685354</v>
      </c>
      <c r="F57" s="129" t="str">
        <f t="shared" si="2"/>
        <v>RuN</v>
      </c>
      <c r="G57" s="139">
        <f t="shared" si="3"/>
        <v>1.8075370209498571</v>
      </c>
      <c r="H57" s="140">
        <f t="shared" si="4"/>
        <v>693.4140986478116</v>
      </c>
      <c r="I57" s="136"/>
      <c r="J57" s="157">
        <f t="shared" si="7"/>
        <v>0</v>
      </c>
      <c r="K57" s="157">
        <f t="shared" si="8"/>
        <v>0.6096687453121652</v>
      </c>
    </row>
    <row r="58" spans="1:11" ht="12.75">
      <c r="A58" s="135">
        <v>4</v>
      </c>
      <c r="B58" s="22">
        <f t="shared" si="5"/>
        <v>12.6</v>
      </c>
      <c r="C58" s="11">
        <f t="shared" si="6"/>
        <v>264.6</v>
      </c>
      <c r="D58" s="137">
        <f t="shared" si="0"/>
        <v>265.5398573135472</v>
      </c>
      <c r="E58" s="138">
        <f t="shared" si="1"/>
        <v>21.074591850281525</v>
      </c>
      <c r="F58" s="129" t="str">
        <f t="shared" si="2"/>
        <v>RuN</v>
      </c>
      <c r="G58" s="139">
        <f t="shared" si="3"/>
        <v>3.3740691057730667</v>
      </c>
      <c r="H58" s="140">
        <f t="shared" si="4"/>
        <v>262.16578820777414</v>
      </c>
      <c r="I58" s="136"/>
      <c r="J58" s="157">
        <f t="shared" si="7"/>
        <v>0</v>
      </c>
      <c r="K58" s="157">
        <f t="shared" si="8"/>
        <v>0.6096687453121652</v>
      </c>
    </row>
    <row r="59" spans="1:11" s="1" customFormat="1" ht="12.75">
      <c r="A59" s="130">
        <v>3</v>
      </c>
      <c r="B59" s="22">
        <f t="shared" si="5"/>
        <v>13.5</v>
      </c>
      <c r="C59" s="11">
        <f t="shared" si="6"/>
        <v>4.95</v>
      </c>
      <c r="D59" s="132">
        <f t="shared" si="0"/>
        <v>6.6843072065284925</v>
      </c>
      <c r="E59" s="133">
        <f t="shared" si="1"/>
        <v>0.4951338671502587</v>
      </c>
      <c r="F59" s="126" t="str">
        <f t="shared" si="2"/>
        <v>N</v>
      </c>
      <c r="G59" s="134">
        <f>D59</f>
        <v>6.6843072065284925</v>
      </c>
      <c r="H59" s="119">
        <f t="shared" si="4"/>
        <v>0</v>
      </c>
      <c r="I59" s="131" t="s">
        <v>147</v>
      </c>
      <c r="J59" s="157">
        <f t="shared" si="7"/>
        <v>0</v>
      </c>
      <c r="K59" s="157">
        <f t="shared" si="8"/>
        <v>0.6096687453121652</v>
      </c>
    </row>
    <row r="60" spans="1:11" s="152" customFormat="1" ht="12.75">
      <c r="A60" s="135">
        <v>36</v>
      </c>
      <c r="B60" s="22">
        <f t="shared" si="5"/>
        <v>16.2</v>
      </c>
      <c r="C60" s="11">
        <f t="shared" si="6"/>
        <v>521.5500000000001</v>
      </c>
      <c r="D60" s="137">
        <f t="shared" si="0"/>
        <v>522.5299909544534</v>
      </c>
      <c r="E60" s="138">
        <f t="shared" si="1"/>
        <v>32.254937713237865</v>
      </c>
      <c r="F60" s="129" t="str">
        <f t="shared" si="2"/>
        <v>RuN</v>
      </c>
      <c r="G60" s="139">
        <f t="shared" si="3"/>
        <v>4.338088850279657</v>
      </c>
      <c r="H60" s="140">
        <f t="shared" si="4"/>
        <v>518.1919021041738</v>
      </c>
      <c r="I60" s="136"/>
      <c r="J60" s="157">
        <f t="shared" si="7"/>
        <v>0</v>
      </c>
      <c r="K60" s="157">
        <f t="shared" si="8"/>
        <v>0.6096687453121652</v>
      </c>
    </row>
    <row r="61" spans="1:11" ht="12.75">
      <c r="A61" s="135">
        <v>17</v>
      </c>
      <c r="B61" s="22">
        <f t="shared" si="5"/>
        <v>22.950000000000003</v>
      </c>
      <c r="C61" s="11">
        <f t="shared" si="6"/>
        <v>454.05</v>
      </c>
      <c r="D61" s="137">
        <f t="shared" si="0"/>
        <v>455.48015565368183</v>
      </c>
      <c r="E61" s="138">
        <f t="shared" si="1"/>
        <v>19.84662987597742</v>
      </c>
      <c r="F61" s="129" t="str">
        <f t="shared" si="2"/>
        <v>RuN</v>
      </c>
      <c r="G61" s="139">
        <f t="shared" si="3"/>
        <v>6.145625871229515</v>
      </c>
      <c r="H61" s="140">
        <f t="shared" si="4"/>
        <v>449.3345297824523</v>
      </c>
      <c r="I61" s="136"/>
      <c r="J61" s="157">
        <f t="shared" si="7"/>
        <v>0</v>
      </c>
      <c r="K61" s="157">
        <f t="shared" si="8"/>
        <v>0.6096687453121652</v>
      </c>
    </row>
    <row r="62" spans="1:11" ht="12.75">
      <c r="A62" s="135">
        <v>7</v>
      </c>
      <c r="B62" s="22">
        <f t="shared" si="5"/>
        <v>25.2</v>
      </c>
      <c r="C62" s="11">
        <f t="shared" si="6"/>
        <v>691.65</v>
      </c>
      <c r="D62" s="137">
        <f t="shared" si="0"/>
        <v>695.6673637372628</v>
      </c>
      <c r="E62" s="138">
        <f t="shared" si="1"/>
        <v>27.6058477673517</v>
      </c>
      <c r="F62" s="129" t="str">
        <f t="shared" si="2"/>
        <v>RuN</v>
      </c>
      <c r="G62" s="139">
        <f t="shared" si="3"/>
        <v>6.7481382115461335</v>
      </c>
      <c r="H62" s="140">
        <f t="shared" si="4"/>
        <v>688.9192255257167</v>
      </c>
      <c r="I62" s="136"/>
      <c r="J62" s="157">
        <f t="shared" si="7"/>
        <v>0</v>
      </c>
      <c r="K62" s="157">
        <f t="shared" si="8"/>
        <v>0.6096687453121652</v>
      </c>
    </row>
    <row r="63" spans="1:11" ht="12.75">
      <c r="A63" s="135">
        <v>58</v>
      </c>
      <c r="B63" s="22">
        <f t="shared" si="5"/>
        <v>26.1</v>
      </c>
      <c r="C63" s="11">
        <f t="shared" si="6"/>
        <v>374.85</v>
      </c>
      <c r="D63" s="137">
        <f t="shared" si="0"/>
        <v>379.5368385669004</v>
      </c>
      <c r="E63" s="138">
        <f t="shared" si="1"/>
        <v>14.541641324402315</v>
      </c>
      <c r="F63" s="129" t="str">
        <f t="shared" si="2"/>
        <v>RuN</v>
      </c>
      <c r="G63" s="139">
        <f t="shared" si="3"/>
        <v>6.989143147672782</v>
      </c>
      <c r="H63" s="140">
        <f t="shared" si="4"/>
        <v>372.54769541922764</v>
      </c>
      <c r="I63" s="136"/>
      <c r="J63" s="157">
        <f t="shared" si="7"/>
        <v>0</v>
      </c>
      <c r="K63" s="157">
        <f t="shared" si="8"/>
        <v>0.6096687453121652</v>
      </c>
    </row>
    <row r="64" spans="1:11" ht="12.75">
      <c r="A64" s="135">
        <v>6</v>
      </c>
      <c r="B64" s="22">
        <f t="shared" si="5"/>
        <v>27</v>
      </c>
      <c r="C64" s="11">
        <f t="shared" si="6"/>
        <v>900</v>
      </c>
      <c r="D64" s="137">
        <f t="shared" si="0"/>
        <v>902.7873468929178</v>
      </c>
      <c r="E64" s="138">
        <f t="shared" si="1"/>
        <v>33.4365684034414</v>
      </c>
      <c r="F64" s="129" t="str">
        <f t="shared" si="2"/>
        <v>RuN</v>
      </c>
      <c r="G64" s="139">
        <f t="shared" si="3"/>
        <v>7.2301480837994285</v>
      </c>
      <c r="H64" s="140">
        <f t="shared" si="4"/>
        <v>895.5571988091183</v>
      </c>
      <c r="I64" s="136"/>
      <c r="J64" s="157">
        <f t="shared" si="7"/>
        <v>0</v>
      </c>
      <c r="K64" s="157">
        <f t="shared" si="8"/>
        <v>0.6096687453121652</v>
      </c>
    </row>
    <row r="65" spans="1:11" ht="12.75">
      <c r="A65" s="135">
        <v>10</v>
      </c>
      <c r="B65" s="22">
        <f t="shared" si="5"/>
        <v>36</v>
      </c>
      <c r="C65" s="11">
        <f t="shared" si="6"/>
        <v>157.5</v>
      </c>
      <c r="D65" s="137">
        <f t="shared" si="0"/>
        <v>160.64491440047897</v>
      </c>
      <c r="E65" s="138">
        <f t="shared" si="1"/>
        <v>4.462358733346638</v>
      </c>
      <c r="F65" s="129" t="str">
        <f t="shared" si="2"/>
        <v>RuN</v>
      </c>
      <c r="G65" s="139">
        <f t="shared" si="3"/>
        <v>9.640197445065905</v>
      </c>
      <c r="H65" s="140">
        <f t="shared" si="4"/>
        <v>151.00471695541307</v>
      </c>
      <c r="I65" s="136"/>
      <c r="J65" s="157">
        <f t="shared" si="7"/>
        <v>0</v>
      </c>
      <c r="K65" s="157">
        <f t="shared" si="8"/>
        <v>0.6096687453121652</v>
      </c>
    </row>
    <row r="66" spans="1:11" ht="12.75">
      <c r="A66" s="135">
        <v>20</v>
      </c>
      <c r="B66" s="22">
        <f t="shared" si="5"/>
        <v>36</v>
      </c>
      <c r="C66" s="11">
        <f t="shared" si="6"/>
        <v>509.40000000000003</v>
      </c>
      <c r="D66" s="137">
        <f t="shared" si="0"/>
        <v>515.6919617415717</v>
      </c>
      <c r="E66" s="138">
        <f t="shared" si="1"/>
        <v>14.32477671504366</v>
      </c>
      <c r="F66" s="129" t="str">
        <f t="shared" si="2"/>
        <v>RuN</v>
      </c>
      <c r="G66" s="139">
        <f t="shared" si="3"/>
        <v>9.640197445065905</v>
      </c>
      <c r="H66" s="140">
        <f t="shared" si="4"/>
        <v>506.05176429650584</v>
      </c>
      <c r="I66" s="136"/>
      <c r="J66" s="157">
        <f t="shared" si="7"/>
        <v>0</v>
      </c>
      <c r="K66" s="157">
        <f t="shared" si="8"/>
        <v>0.6096687453121652</v>
      </c>
    </row>
    <row r="67" spans="1:11" ht="12.75">
      <c r="A67" s="135">
        <v>80</v>
      </c>
      <c r="B67" s="22">
        <f t="shared" si="5"/>
        <v>36</v>
      </c>
      <c r="C67" s="11">
        <f t="shared" si="6"/>
        <v>529.2</v>
      </c>
      <c r="D67" s="137">
        <f t="shared" si="0"/>
        <v>531.3732005075256</v>
      </c>
      <c r="E67" s="138">
        <f t="shared" si="1"/>
        <v>14.760366680764598</v>
      </c>
      <c r="F67" s="129" t="str">
        <f t="shared" si="2"/>
        <v>RuN</v>
      </c>
      <c r="G67" s="139">
        <f t="shared" si="3"/>
        <v>9.640197445065905</v>
      </c>
      <c r="H67" s="140">
        <f t="shared" si="4"/>
        <v>521.7330030624596</v>
      </c>
      <c r="I67" s="136"/>
      <c r="J67" s="157">
        <f t="shared" si="7"/>
        <v>0</v>
      </c>
      <c r="K67" s="157">
        <f t="shared" si="8"/>
        <v>0.6096687453121652</v>
      </c>
    </row>
    <row r="68" spans="1:11" s="1" customFormat="1" ht="12.75">
      <c r="A68" s="130">
        <v>9</v>
      </c>
      <c r="B68" s="22">
        <f t="shared" si="5"/>
        <v>36.449999999999996</v>
      </c>
      <c r="C68" s="11">
        <f t="shared" si="6"/>
        <v>4.05</v>
      </c>
      <c r="D68" s="132">
        <f t="shared" si="0"/>
        <v>9.325303127223721</v>
      </c>
      <c r="E68" s="133">
        <f t="shared" si="1"/>
        <v>0.25583822022561653</v>
      </c>
      <c r="F68" s="126" t="str">
        <f t="shared" si="2"/>
        <v>N</v>
      </c>
      <c r="G68" s="134">
        <f>D68</f>
        <v>9.325303127223721</v>
      </c>
      <c r="H68" s="119">
        <f t="shared" si="4"/>
        <v>0</v>
      </c>
      <c r="I68" s="131" t="s">
        <v>134</v>
      </c>
      <c r="J68" s="157">
        <f t="shared" si="7"/>
        <v>0</v>
      </c>
      <c r="K68" s="157">
        <f t="shared" si="8"/>
        <v>0.6096687453121652</v>
      </c>
    </row>
    <row r="69" spans="1:11" ht="12.75">
      <c r="A69" s="135">
        <v>27</v>
      </c>
      <c r="B69" s="22">
        <f t="shared" si="5"/>
        <v>36.45</v>
      </c>
      <c r="C69" s="11">
        <f t="shared" si="6"/>
        <v>202.05</v>
      </c>
      <c r="D69" s="137">
        <f t="shared" si="0"/>
        <v>208.51559415542067</v>
      </c>
      <c r="E69" s="138">
        <f t="shared" si="1"/>
        <v>5.72059243224748</v>
      </c>
      <c r="F69" s="129" t="str">
        <f t="shared" si="2"/>
        <v>RuN</v>
      </c>
      <c r="G69" s="139">
        <f t="shared" si="3"/>
        <v>9.76069991312923</v>
      </c>
      <c r="H69" s="140">
        <f t="shared" si="4"/>
        <v>198.75489424229144</v>
      </c>
      <c r="I69" s="136"/>
      <c r="J69" s="157">
        <f t="shared" si="7"/>
        <v>0</v>
      </c>
      <c r="K69" s="157">
        <f t="shared" si="8"/>
        <v>0.6096687453121652</v>
      </c>
    </row>
    <row r="70" spans="1:11" ht="12.75">
      <c r="A70" s="135">
        <v>12</v>
      </c>
      <c r="B70" s="22">
        <f t="shared" si="5"/>
        <v>43.2</v>
      </c>
      <c r="C70" s="11">
        <f t="shared" si="6"/>
        <v>882.45</v>
      </c>
      <c r="D70" s="137">
        <f t="shared" si="0"/>
        <v>886.2432029965429</v>
      </c>
      <c r="E70" s="138">
        <f t="shared" si="1"/>
        <v>20.514888958253305</v>
      </c>
      <c r="F70" s="129" t="str">
        <f t="shared" si="2"/>
        <v>RuN</v>
      </c>
      <c r="G70" s="139">
        <f t="shared" si="3"/>
        <v>11.568236934079087</v>
      </c>
      <c r="H70" s="140">
        <f t="shared" si="4"/>
        <v>874.6749660624638</v>
      </c>
      <c r="I70" s="136"/>
      <c r="J70" s="157">
        <f t="shared" si="7"/>
        <v>0</v>
      </c>
      <c r="K70" s="157">
        <f t="shared" si="8"/>
        <v>0.6096687453121652</v>
      </c>
    </row>
    <row r="71" spans="1:11" ht="12.75">
      <c r="A71" s="135">
        <v>24</v>
      </c>
      <c r="B71" s="22">
        <f t="shared" si="5"/>
        <v>43.2</v>
      </c>
      <c r="C71" s="11">
        <f t="shared" si="6"/>
        <v>748.8000000000001</v>
      </c>
      <c r="D71" s="137">
        <f t="shared" si="0"/>
        <v>751.6367408856789</v>
      </c>
      <c r="E71" s="138">
        <f t="shared" si="1"/>
        <v>17.398998631612937</v>
      </c>
      <c r="F71" s="129" t="str">
        <f t="shared" si="2"/>
        <v>RuN</v>
      </c>
      <c r="G71" s="139">
        <f t="shared" si="3"/>
        <v>11.568236934079087</v>
      </c>
      <c r="H71" s="140">
        <f t="shared" si="4"/>
        <v>740.0685039515998</v>
      </c>
      <c r="I71" s="136"/>
      <c r="J71" s="157">
        <f t="shared" si="7"/>
        <v>0</v>
      </c>
      <c r="K71" s="157">
        <f t="shared" si="8"/>
        <v>0.6096687453121652</v>
      </c>
    </row>
    <row r="72" spans="1:11" ht="12.75">
      <c r="A72" s="135">
        <v>52</v>
      </c>
      <c r="B72" s="22">
        <f t="shared" si="5"/>
        <v>46.800000000000004</v>
      </c>
      <c r="C72" s="11">
        <f t="shared" si="6"/>
        <v>253.8</v>
      </c>
      <c r="D72" s="137">
        <f aca="true" t="shared" si="9" ref="D72:D103">C72+B72*(C$5*(1+C$3*SIN(A72)))</f>
        <v>262.1864502784497</v>
      </c>
      <c r="E72" s="138">
        <f aca="true" t="shared" si="10" ref="E72:E103">IF(B72&gt;0,D72/B72,10000)</f>
        <v>5.602274578599352</v>
      </c>
      <c r="F72" s="129" t="str">
        <f aca="true" t="shared" si="11" ref="F72:F103">IF(E72=10000,G$1,IF(D72=G72,H$1,I$1))</f>
        <v>RuN</v>
      </c>
      <c r="G72" s="139">
        <f t="shared" si="3"/>
        <v>12.532256678585679</v>
      </c>
      <c r="H72" s="140">
        <f aca="true" t="shared" si="12" ref="H72:H103">D72-G72</f>
        <v>249.65419359986402</v>
      </c>
      <c r="I72" s="136"/>
      <c r="J72" s="157">
        <f t="shared" si="7"/>
        <v>0</v>
      </c>
      <c r="K72" s="157">
        <f t="shared" si="8"/>
        <v>0.6096687453121652</v>
      </c>
    </row>
    <row r="73" spans="1:11" ht="12.75">
      <c r="A73" s="135">
        <v>21</v>
      </c>
      <c r="B73" s="22">
        <f t="shared" si="5"/>
        <v>47.25000000000001</v>
      </c>
      <c r="C73" s="11">
        <f t="shared" si="6"/>
        <v>106.65</v>
      </c>
      <c r="D73" s="137">
        <f t="shared" si="9"/>
        <v>114.69191873524973</v>
      </c>
      <c r="E73" s="138">
        <f t="shared" si="10"/>
        <v>2.4273421954550205</v>
      </c>
      <c r="F73" s="129" t="str">
        <f t="shared" si="11"/>
        <v>RuN</v>
      </c>
      <c r="G73" s="139">
        <f t="shared" si="3"/>
        <v>12.652759146649002</v>
      </c>
      <c r="H73" s="140">
        <f t="shared" si="12"/>
        <v>102.03915958860073</v>
      </c>
      <c r="I73" s="136"/>
      <c r="J73" s="157">
        <f t="shared" si="7"/>
        <v>0</v>
      </c>
      <c r="K73" s="157">
        <f t="shared" si="8"/>
        <v>0.6096687453121652</v>
      </c>
    </row>
    <row r="74" spans="1:11" ht="12.75">
      <c r="A74" s="135">
        <v>23</v>
      </c>
      <c r="B74" s="22">
        <f t="shared" si="5"/>
        <v>51.75</v>
      </c>
      <c r="C74" s="11">
        <f t="shared" si="6"/>
        <v>328.05</v>
      </c>
      <c r="D74" s="137">
        <f t="shared" si="9"/>
        <v>331.6324856450361</v>
      </c>
      <c r="E74" s="138">
        <f t="shared" si="10"/>
        <v>6.408357210532099</v>
      </c>
      <c r="F74" s="129" t="str">
        <f t="shared" si="11"/>
        <v>RuN</v>
      </c>
      <c r="G74" s="139">
        <f t="shared" si="3"/>
        <v>13.857783827282239</v>
      </c>
      <c r="H74" s="140">
        <f t="shared" si="12"/>
        <v>317.7747018177539</v>
      </c>
      <c r="I74" s="136"/>
      <c r="J74" s="157">
        <f t="shared" si="7"/>
        <v>0</v>
      </c>
      <c r="K74" s="157">
        <f t="shared" si="8"/>
        <v>0.6096687453121652</v>
      </c>
    </row>
    <row r="75" spans="1:11" ht="12.75">
      <c r="A75" s="135">
        <v>39</v>
      </c>
      <c r="B75" s="22">
        <f t="shared" si="5"/>
        <v>52.650000000000006</v>
      </c>
      <c r="C75" s="11">
        <f t="shared" si="6"/>
        <v>441.90000000000003</v>
      </c>
      <c r="D75" s="137">
        <f t="shared" si="9"/>
        <v>451.2626296252715</v>
      </c>
      <c r="E75" s="138">
        <f t="shared" si="10"/>
        <v>8.570990116339438</v>
      </c>
      <c r="F75" s="129" t="str">
        <f t="shared" si="11"/>
        <v>RuN</v>
      </c>
      <c r="G75" s="139">
        <f t="shared" si="3"/>
        <v>14.098788763408887</v>
      </c>
      <c r="H75" s="140">
        <f t="shared" si="12"/>
        <v>437.1638408618626</v>
      </c>
      <c r="I75" s="136"/>
      <c r="J75" s="157">
        <f t="shared" si="7"/>
        <v>0</v>
      </c>
      <c r="K75" s="157">
        <f t="shared" si="8"/>
        <v>0.6096687453121652</v>
      </c>
    </row>
    <row r="76" spans="1:11" ht="12.75">
      <c r="A76" s="135">
        <v>15</v>
      </c>
      <c r="B76" s="22">
        <f t="shared" si="5"/>
        <v>54</v>
      </c>
      <c r="C76" s="11">
        <f t="shared" si="6"/>
        <v>39.15</v>
      </c>
      <c r="D76" s="137">
        <f t="shared" si="9"/>
        <v>47.73693260210906</v>
      </c>
      <c r="E76" s="138">
        <f t="shared" si="10"/>
        <v>0.884017270409427</v>
      </c>
      <c r="F76" s="129" t="str">
        <f t="shared" si="11"/>
        <v>RuN</v>
      </c>
      <c r="G76" s="139">
        <f t="shared" si="3"/>
        <v>14.460296167598857</v>
      </c>
      <c r="H76" s="140">
        <f t="shared" si="12"/>
        <v>33.2766364345102</v>
      </c>
      <c r="I76" s="136"/>
      <c r="J76" s="157">
        <f t="shared" si="7"/>
        <v>0</v>
      </c>
      <c r="K76" s="157">
        <f t="shared" si="8"/>
        <v>0.6096687453121652</v>
      </c>
    </row>
    <row r="77" spans="1:11" ht="12.75">
      <c r="A77" s="135">
        <v>18</v>
      </c>
      <c r="B77" s="22">
        <f t="shared" si="5"/>
        <v>56.699999999999996</v>
      </c>
      <c r="C77" s="11">
        <f t="shared" si="6"/>
        <v>830.7</v>
      </c>
      <c r="D77" s="137">
        <f t="shared" si="9"/>
        <v>834.9491413864828</v>
      </c>
      <c r="E77" s="138">
        <f t="shared" si="10"/>
        <v>14.725734415987352</v>
      </c>
      <c r="F77" s="129" t="str">
        <f t="shared" si="11"/>
        <v>RuN</v>
      </c>
      <c r="G77" s="139">
        <f t="shared" si="3"/>
        <v>15.183310975978799</v>
      </c>
      <c r="H77" s="140">
        <f t="shared" si="12"/>
        <v>819.765830410504</v>
      </c>
      <c r="I77" s="136"/>
      <c r="J77" s="157">
        <f t="shared" si="7"/>
        <v>0</v>
      </c>
      <c r="K77" s="157">
        <f t="shared" si="8"/>
        <v>0.6096687453121652</v>
      </c>
    </row>
    <row r="78" spans="1:11" s="69" customFormat="1" ht="12.75">
      <c r="A78" s="135">
        <v>49</v>
      </c>
      <c r="B78" s="22">
        <f t="shared" si="5"/>
        <v>66.15</v>
      </c>
      <c r="C78" s="11">
        <f t="shared" si="6"/>
        <v>701.5500000000001</v>
      </c>
      <c r="D78" s="137">
        <f t="shared" si="9"/>
        <v>705.7025557211978</v>
      </c>
      <c r="E78" s="138">
        <f t="shared" si="10"/>
        <v>10.668217017705182</v>
      </c>
      <c r="F78" s="129" t="str">
        <f t="shared" si="11"/>
        <v>RuN</v>
      </c>
      <c r="G78" s="139">
        <f t="shared" si="3"/>
        <v>17.7138628053086</v>
      </c>
      <c r="H78" s="140">
        <f t="shared" si="12"/>
        <v>687.9886929158891</v>
      </c>
      <c r="I78" s="136"/>
      <c r="J78" s="157">
        <f t="shared" si="7"/>
        <v>0</v>
      </c>
      <c r="K78" s="157">
        <f t="shared" si="8"/>
        <v>0.6096687453121652</v>
      </c>
    </row>
    <row r="79" spans="1:11" ht="12.75">
      <c r="A79" s="135">
        <v>74</v>
      </c>
      <c r="B79" s="22">
        <f t="shared" si="5"/>
        <v>66.60000000000001</v>
      </c>
      <c r="C79" s="11">
        <f t="shared" si="6"/>
        <v>649.8000000000001</v>
      </c>
      <c r="D79" s="137">
        <f t="shared" si="9"/>
        <v>653.8553555431689</v>
      </c>
      <c r="E79" s="138">
        <f t="shared" si="10"/>
        <v>9.817647981128662</v>
      </c>
      <c r="F79" s="129" t="str">
        <f t="shared" si="11"/>
        <v>RuN</v>
      </c>
      <c r="G79" s="139">
        <f t="shared" si="3"/>
        <v>17.834365273371926</v>
      </c>
      <c r="H79" s="140">
        <f t="shared" si="12"/>
        <v>636.020990269797</v>
      </c>
      <c r="I79" s="136"/>
      <c r="J79" s="157">
        <f t="shared" si="7"/>
        <v>0</v>
      </c>
      <c r="K79" s="157">
        <f t="shared" si="8"/>
        <v>0.6096687453121652</v>
      </c>
    </row>
    <row r="80" spans="1:11" ht="12.75">
      <c r="A80" s="135">
        <v>26</v>
      </c>
      <c r="B80" s="22">
        <f t="shared" si="5"/>
        <v>70.2</v>
      </c>
      <c r="C80" s="11">
        <f t="shared" si="6"/>
        <v>631.8000000000001</v>
      </c>
      <c r="D80" s="137">
        <f t="shared" si="9"/>
        <v>643.4358961934201</v>
      </c>
      <c r="E80" s="138">
        <f t="shared" si="10"/>
        <v>9.165753507028777</v>
      </c>
      <c r="F80" s="129" t="str">
        <f t="shared" si="11"/>
        <v>RuN</v>
      </c>
      <c r="G80" s="139">
        <f t="shared" si="3"/>
        <v>18.798385017878516</v>
      </c>
      <c r="H80" s="140">
        <f t="shared" si="12"/>
        <v>624.6375111755416</v>
      </c>
      <c r="I80" s="136"/>
      <c r="J80" s="157">
        <f t="shared" si="7"/>
        <v>0</v>
      </c>
      <c r="K80" s="157">
        <f t="shared" si="8"/>
        <v>0.6096687453121652</v>
      </c>
    </row>
    <row r="81" spans="1:11" ht="12.75">
      <c r="A81" s="135">
        <v>16</v>
      </c>
      <c r="B81" s="22">
        <f t="shared" si="5"/>
        <v>72</v>
      </c>
      <c r="C81" s="11">
        <f t="shared" si="6"/>
        <v>73.35000000000001</v>
      </c>
      <c r="D81" s="137">
        <f t="shared" si="9"/>
        <v>80.74625767200692</v>
      </c>
      <c r="E81" s="138">
        <f t="shared" si="10"/>
        <v>1.121475801000096</v>
      </c>
      <c r="F81" s="129" t="str">
        <f t="shared" si="11"/>
        <v>RuN</v>
      </c>
      <c r="G81" s="139">
        <f t="shared" si="3"/>
        <v>19.28039489013181</v>
      </c>
      <c r="H81" s="140">
        <f t="shared" si="12"/>
        <v>61.46586278187511</v>
      </c>
      <c r="I81" s="136"/>
      <c r="J81" s="157">
        <f t="shared" si="7"/>
        <v>0</v>
      </c>
      <c r="K81" s="157">
        <f t="shared" si="8"/>
        <v>0.6096687453121652</v>
      </c>
    </row>
    <row r="82" spans="1:11" ht="12.75">
      <c r="A82" s="135">
        <v>83</v>
      </c>
      <c r="B82" s="22">
        <f t="shared" si="5"/>
        <v>74.7</v>
      </c>
      <c r="C82" s="11">
        <f t="shared" si="6"/>
        <v>434.25</v>
      </c>
      <c r="D82" s="137">
        <f t="shared" si="9"/>
        <v>447.554209514651</v>
      </c>
      <c r="E82" s="138">
        <f t="shared" si="10"/>
        <v>5.991354879714203</v>
      </c>
      <c r="F82" s="129" t="str">
        <f t="shared" si="11"/>
        <v>RuN</v>
      </c>
      <c r="G82" s="139">
        <f t="shared" si="3"/>
        <v>20.003409698511753</v>
      </c>
      <c r="H82" s="140">
        <f t="shared" si="12"/>
        <v>427.55079981613926</v>
      </c>
      <c r="I82" s="136"/>
      <c r="J82" s="157">
        <f t="shared" si="7"/>
        <v>0</v>
      </c>
      <c r="K82" s="157">
        <f t="shared" si="8"/>
        <v>0.6096687453121652</v>
      </c>
    </row>
    <row r="83" spans="1:11" ht="12.75">
      <c r="A83" s="135">
        <v>42</v>
      </c>
      <c r="B83" s="22">
        <f t="shared" si="5"/>
        <v>75.60000000000001</v>
      </c>
      <c r="C83" s="11">
        <f t="shared" si="6"/>
        <v>394.2</v>
      </c>
      <c r="D83" s="137">
        <f t="shared" si="9"/>
        <v>399.1146582586547</v>
      </c>
      <c r="E83" s="138">
        <f t="shared" si="10"/>
        <v>5.279294421410776</v>
      </c>
      <c r="F83" s="129" t="str">
        <f t="shared" si="11"/>
        <v>RuN</v>
      </c>
      <c r="G83" s="139">
        <f t="shared" si="3"/>
        <v>20.244414634638403</v>
      </c>
      <c r="H83" s="140">
        <f t="shared" si="12"/>
        <v>378.87024362401627</v>
      </c>
      <c r="I83" s="136"/>
      <c r="J83" s="157">
        <f t="shared" si="7"/>
        <v>0</v>
      </c>
      <c r="K83" s="157">
        <f t="shared" si="8"/>
        <v>0.6096687453121652</v>
      </c>
    </row>
    <row r="84" spans="1:11" ht="12.75">
      <c r="A84" s="135">
        <v>61</v>
      </c>
      <c r="B84" s="22">
        <f t="shared" si="5"/>
        <v>82.35</v>
      </c>
      <c r="C84" s="11">
        <f t="shared" si="6"/>
        <v>462.15000000000003</v>
      </c>
      <c r="D84" s="137">
        <f t="shared" si="9"/>
        <v>467.2584120983886</v>
      </c>
      <c r="E84" s="138">
        <f t="shared" si="10"/>
        <v>5.674054791722995</v>
      </c>
      <c r="F84" s="129" t="str">
        <f t="shared" si="11"/>
        <v>RuN</v>
      </c>
      <c r="G84" s="139">
        <f t="shared" si="3"/>
        <v>22.051951655588258</v>
      </c>
      <c r="H84" s="140">
        <f t="shared" si="12"/>
        <v>445.20646044280033</v>
      </c>
      <c r="I84" s="136"/>
      <c r="J84" s="157">
        <f t="shared" si="7"/>
        <v>0</v>
      </c>
      <c r="K84" s="157">
        <f t="shared" si="8"/>
        <v>0.6096687453121652</v>
      </c>
    </row>
    <row r="85" spans="1:11" ht="12.75">
      <c r="A85" s="135">
        <v>46</v>
      </c>
      <c r="B85" s="22">
        <f t="shared" si="5"/>
        <v>82.8</v>
      </c>
      <c r="C85" s="11">
        <f t="shared" si="6"/>
        <v>148.5</v>
      </c>
      <c r="D85" s="137">
        <f t="shared" si="9"/>
        <v>162.9160845111193</v>
      </c>
      <c r="E85" s="138">
        <f t="shared" si="10"/>
        <v>1.9675855617284939</v>
      </c>
      <c r="F85" s="129" t="str">
        <f t="shared" si="11"/>
        <v>RuN</v>
      </c>
      <c r="G85" s="139">
        <f t="shared" si="3"/>
        <v>22.17245412365158</v>
      </c>
      <c r="H85" s="140">
        <f t="shared" si="12"/>
        <v>140.7436303874677</v>
      </c>
      <c r="I85" s="136"/>
      <c r="J85" s="157">
        <f t="shared" si="7"/>
        <v>0</v>
      </c>
      <c r="K85" s="157">
        <f t="shared" si="8"/>
        <v>0.6096687453121652</v>
      </c>
    </row>
    <row r="86" spans="1:11" ht="12.75">
      <c r="A86" s="135">
        <v>19</v>
      </c>
      <c r="B86" s="22">
        <f t="shared" si="5"/>
        <v>85.5</v>
      </c>
      <c r="C86" s="11">
        <f t="shared" si="6"/>
        <v>857.7</v>
      </c>
      <c r="D86" s="137">
        <f t="shared" si="9"/>
        <v>868.728870085571</v>
      </c>
      <c r="E86" s="138">
        <f t="shared" si="10"/>
        <v>10.160571579948199</v>
      </c>
      <c r="F86" s="129" t="str">
        <f t="shared" si="11"/>
        <v>RuN</v>
      </c>
      <c r="G86" s="139">
        <f t="shared" si="3"/>
        <v>22.895468932031523</v>
      </c>
      <c r="H86" s="140">
        <f t="shared" si="12"/>
        <v>845.8334011535394</v>
      </c>
      <c r="I86" s="136"/>
      <c r="J86" s="157">
        <f t="shared" si="7"/>
        <v>0</v>
      </c>
      <c r="K86" s="157">
        <f t="shared" si="8"/>
        <v>0.6096687453121652</v>
      </c>
    </row>
    <row r="87" spans="1:11" ht="12.75">
      <c r="A87" s="135">
        <v>29</v>
      </c>
      <c r="B87" s="22">
        <f t="shared" si="5"/>
        <v>91.35000000000001</v>
      </c>
      <c r="C87" s="11">
        <f t="shared" si="6"/>
        <v>211.95000000000002</v>
      </c>
      <c r="D87" s="137">
        <f t="shared" si="9"/>
        <v>219.27462268062874</v>
      </c>
      <c r="E87" s="138">
        <f t="shared" si="10"/>
        <v>2.4003790112821974</v>
      </c>
      <c r="F87" s="129" t="str">
        <f t="shared" si="11"/>
        <v>RuN</v>
      </c>
      <c r="G87" s="139">
        <f t="shared" si="3"/>
        <v>24.462001016854735</v>
      </c>
      <c r="H87" s="140">
        <f t="shared" si="12"/>
        <v>194.812621663774</v>
      </c>
      <c r="I87" s="136"/>
      <c r="J87" s="157">
        <f t="shared" si="7"/>
        <v>0</v>
      </c>
      <c r="K87" s="157">
        <f t="shared" si="8"/>
        <v>0.6096687453121652</v>
      </c>
    </row>
    <row r="88" spans="1:11" ht="12.75">
      <c r="A88" s="135">
        <v>71</v>
      </c>
      <c r="B88" s="22">
        <f t="shared" si="5"/>
        <v>95.85</v>
      </c>
      <c r="C88" s="11">
        <f t="shared" si="6"/>
        <v>195.3</v>
      </c>
      <c r="D88" s="137">
        <f t="shared" si="9"/>
        <v>212.2715153108659</v>
      </c>
      <c r="E88" s="138">
        <f t="shared" si="10"/>
        <v>2.214621964641272</v>
      </c>
      <c r="F88" s="129" t="str">
        <f t="shared" si="11"/>
        <v>RuN</v>
      </c>
      <c r="G88" s="139">
        <f t="shared" si="3"/>
        <v>25.667025697487972</v>
      </c>
      <c r="H88" s="140">
        <f t="shared" si="12"/>
        <v>186.60448961337795</v>
      </c>
      <c r="I88" s="136"/>
      <c r="J88" s="157">
        <f t="shared" si="7"/>
        <v>0</v>
      </c>
      <c r="K88" s="157">
        <f t="shared" si="8"/>
        <v>0.6096687453121652</v>
      </c>
    </row>
    <row r="89" spans="1:11" ht="12.75">
      <c r="A89" s="130">
        <v>22</v>
      </c>
      <c r="B89" s="22">
        <f t="shared" si="5"/>
        <v>99</v>
      </c>
      <c r="C89" s="11">
        <f t="shared" si="6"/>
        <v>19.8</v>
      </c>
      <c r="D89" s="132">
        <f t="shared" si="9"/>
        <v>31.627423222815</v>
      </c>
      <c r="E89" s="133">
        <f t="shared" si="10"/>
        <v>0.31946892144257577</v>
      </c>
      <c r="F89" s="126" t="str">
        <f t="shared" si="11"/>
        <v>N</v>
      </c>
      <c r="G89" s="134">
        <f>D89</f>
        <v>31.627423222815</v>
      </c>
      <c r="H89" s="119">
        <f t="shared" si="12"/>
        <v>0</v>
      </c>
      <c r="I89" s="131" t="s">
        <v>139</v>
      </c>
      <c r="J89" s="157">
        <f t="shared" si="7"/>
        <v>0</v>
      </c>
      <c r="K89" s="157">
        <f t="shared" si="8"/>
        <v>0.6096687453121652</v>
      </c>
    </row>
    <row r="90" spans="1:11" ht="12.75">
      <c r="A90" s="135">
        <v>45</v>
      </c>
      <c r="B90" s="22">
        <f t="shared" si="5"/>
        <v>101.25</v>
      </c>
      <c r="C90" s="11">
        <f t="shared" si="6"/>
        <v>567.9</v>
      </c>
      <c r="D90" s="137">
        <f t="shared" si="9"/>
        <v>585.2192389115447</v>
      </c>
      <c r="E90" s="138">
        <f t="shared" si="10"/>
        <v>5.779943100360936</v>
      </c>
      <c r="F90" s="129" t="str">
        <f t="shared" si="11"/>
        <v>RuN</v>
      </c>
      <c r="G90" s="139">
        <f t="shared" si="3"/>
        <v>27.11305531424786</v>
      </c>
      <c r="H90" s="140">
        <f t="shared" si="12"/>
        <v>558.1061835972969</v>
      </c>
      <c r="I90" s="136"/>
      <c r="J90" s="157">
        <f t="shared" si="7"/>
        <v>0</v>
      </c>
      <c r="K90" s="157">
        <f t="shared" si="8"/>
        <v>0.6096687453121652</v>
      </c>
    </row>
    <row r="91" spans="1:11" ht="12.75">
      <c r="A91" s="135">
        <v>25</v>
      </c>
      <c r="B91" s="22">
        <f t="shared" si="5"/>
        <v>112.5</v>
      </c>
      <c r="C91" s="11">
        <f t="shared" si="6"/>
        <v>894.6</v>
      </c>
      <c r="D91" s="137">
        <f t="shared" si="9"/>
        <v>907.2066256868401</v>
      </c>
      <c r="E91" s="138">
        <f t="shared" si="10"/>
        <v>8.064058894994133</v>
      </c>
      <c r="F91" s="129" t="str">
        <f t="shared" si="11"/>
        <v>RuN</v>
      </c>
      <c r="G91" s="139">
        <f t="shared" si="3"/>
        <v>30.125617015830954</v>
      </c>
      <c r="H91" s="140">
        <f t="shared" si="12"/>
        <v>877.0810086710092</v>
      </c>
      <c r="I91" s="136"/>
      <c r="J91" s="157">
        <f t="shared" si="7"/>
        <v>0</v>
      </c>
      <c r="K91" s="157">
        <f t="shared" si="8"/>
        <v>0.6096687453121652</v>
      </c>
    </row>
    <row r="92" spans="1:11" ht="12.75">
      <c r="A92" s="135">
        <v>32</v>
      </c>
      <c r="B92" s="22">
        <f t="shared" si="5"/>
        <v>115.2</v>
      </c>
      <c r="C92" s="11">
        <f t="shared" si="6"/>
        <v>739.8000000000001</v>
      </c>
      <c r="D92" s="137">
        <f t="shared" si="9"/>
        <v>757.4354612207426</v>
      </c>
      <c r="E92" s="138">
        <f t="shared" si="10"/>
        <v>6.574960600874501</v>
      </c>
      <c r="F92" s="129" t="str">
        <f t="shared" si="11"/>
        <v>RuN</v>
      </c>
      <c r="G92" s="139">
        <f t="shared" si="3"/>
        <v>30.848631824210898</v>
      </c>
      <c r="H92" s="140">
        <f t="shared" si="12"/>
        <v>726.5868293965317</v>
      </c>
      <c r="I92" s="136"/>
      <c r="J92" s="157">
        <f t="shared" si="7"/>
        <v>0</v>
      </c>
      <c r="K92" s="157">
        <f t="shared" si="8"/>
        <v>0.6096687453121652</v>
      </c>
    </row>
    <row r="93" spans="1:11" s="1" customFormat="1" ht="12.75">
      <c r="A93" s="130">
        <v>64</v>
      </c>
      <c r="B93" s="22">
        <f t="shared" si="5"/>
        <v>115.2</v>
      </c>
      <c r="C93" s="11">
        <v>0</v>
      </c>
      <c r="D93" s="132">
        <f t="shared" si="9"/>
        <v>20.18321997601622</v>
      </c>
      <c r="E93" s="133">
        <f t="shared" si="10"/>
        <v>0.17520156229180744</v>
      </c>
      <c r="F93" s="126" t="str">
        <f t="shared" si="11"/>
        <v>N</v>
      </c>
      <c r="G93" s="134">
        <f>D93</f>
        <v>20.18321997601622</v>
      </c>
      <c r="H93" s="119">
        <f t="shared" si="12"/>
        <v>0</v>
      </c>
      <c r="I93" s="131" t="s">
        <v>147</v>
      </c>
      <c r="J93" s="157">
        <f t="shared" si="7"/>
        <v>0</v>
      </c>
      <c r="K93" s="157">
        <f t="shared" si="8"/>
        <v>0.6096687453121652</v>
      </c>
    </row>
    <row r="94" spans="1:11" ht="12.75">
      <c r="A94" s="135">
        <v>43</v>
      </c>
      <c r="B94" s="22">
        <f t="shared" si="5"/>
        <v>116.10000000000001</v>
      </c>
      <c r="C94" s="11">
        <f t="shared" si="6"/>
        <v>795.6</v>
      </c>
      <c r="D94" s="137">
        <f t="shared" si="9"/>
        <v>803.7378571428492</v>
      </c>
      <c r="E94" s="138">
        <f t="shared" si="10"/>
        <v>6.922806693736857</v>
      </c>
      <c r="F94" s="129" t="str">
        <f t="shared" si="11"/>
        <v>RuN</v>
      </c>
      <c r="G94" s="139">
        <f t="shared" si="3"/>
        <v>31.089636760337548</v>
      </c>
      <c r="H94" s="140">
        <f t="shared" si="12"/>
        <v>772.6482203825117</v>
      </c>
      <c r="I94" s="136"/>
      <c r="J94" s="157">
        <f t="shared" si="7"/>
        <v>0</v>
      </c>
      <c r="K94" s="157">
        <f t="shared" si="8"/>
        <v>0.6096687453121652</v>
      </c>
    </row>
    <row r="95" spans="1:11" s="1" customFormat="1" ht="12.75">
      <c r="A95" s="130">
        <v>34</v>
      </c>
      <c r="B95" s="22">
        <f t="shared" si="5"/>
        <v>122.4</v>
      </c>
      <c r="C95" s="11">
        <f t="shared" si="6"/>
        <v>16.2</v>
      </c>
      <c r="D95" s="132">
        <f t="shared" si="9"/>
        <v>34.773583246865456</v>
      </c>
      <c r="E95" s="133">
        <f t="shared" si="10"/>
        <v>0.284097902343672</v>
      </c>
      <c r="F95" s="126" t="str">
        <f t="shared" si="11"/>
        <v>N</v>
      </c>
      <c r="G95" s="134">
        <f>D95</f>
        <v>34.773583246865456</v>
      </c>
      <c r="H95" s="119">
        <f t="shared" si="12"/>
        <v>0</v>
      </c>
      <c r="I95" s="131" t="s">
        <v>134</v>
      </c>
      <c r="J95" s="157">
        <f t="shared" si="7"/>
        <v>0</v>
      </c>
      <c r="K95" s="157">
        <f t="shared" si="8"/>
        <v>0.6096687453121652</v>
      </c>
    </row>
    <row r="96" spans="1:11" ht="12.75">
      <c r="A96" s="135">
        <v>68</v>
      </c>
      <c r="B96" s="22">
        <f t="shared" si="5"/>
        <v>122.4</v>
      </c>
      <c r="C96" s="11">
        <f t="shared" si="6"/>
        <v>754.65</v>
      </c>
      <c r="D96" s="137">
        <f t="shared" si="9"/>
        <v>762.7436191130179</v>
      </c>
      <c r="E96" s="138">
        <f t="shared" si="10"/>
        <v>6.231565515629231</v>
      </c>
      <c r="F96" s="129" t="str">
        <f t="shared" si="11"/>
        <v>RuN</v>
      </c>
      <c r="G96" s="139">
        <f t="shared" si="3"/>
        <v>32.77667131322408</v>
      </c>
      <c r="H96" s="140">
        <f t="shared" si="12"/>
        <v>729.9669477997938</v>
      </c>
      <c r="I96" s="136"/>
      <c r="J96" s="157">
        <f t="shared" si="7"/>
        <v>0</v>
      </c>
      <c r="K96" s="157">
        <f t="shared" si="8"/>
        <v>0.6096687453121652</v>
      </c>
    </row>
    <row r="97" spans="1:11" ht="12.75">
      <c r="A97" s="135">
        <v>31</v>
      </c>
      <c r="B97" s="22">
        <f t="shared" si="5"/>
        <v>125.55000000000001</v>
      </c>
      <c r="C97" s="11">
        <f t="shared" si="6"/>
        <v>896.4</v>
      </c>
      <c r="D97" s="137">
        <f t="shared" si="9"/>
        <v>908.4223844177814</v>
      </c>
      <c r="E97" s="138">
        <f t="shared" si="10"/>
        <v>7.235542687517174</v>
      </c>
      <c r="F97" s="129" t="str">
        <f t="shared" si="11"/>
        <v>RuN</v>
      </c>
      <c r="G97" s="139">
        <f t="shared" si="3"/>
        <v>33.62018858966735</v>
      </c>
      <c r="H97" s="140">
        <f t="shared" si="12"/>
        <v>874.802195828114</v>
      </c>
      <c r="I97" s="136"/>
      <c r="J97" s="157">
        <f t="shared" si="7"/>
        <v>0</v>
      </c>
      <c r="K97" s="157">
        <f t="shared" si="8"/>
        <v>0.6096687453121652</v>
      </c>
    </row>
    <row r="98" spans="1:11" ht="12.75">
      <c r="A98" s="135">
        <v>93</v>
      </c>
      <c r="B98" s="22">
        <f t="shared" si="5"/>
        <v>125.55000000000001</v>
      </c>
      <c r="C98" s="11">
        <f t="shared" si="6"/>
        <v>707.85</v>
      </c>
      <c r="D98" s="137">
        <f t="shared" si="9"/>
        <v>715.7725906298135</v>
      </c>
      <c r="E98" s="138">
        <f t="shared" si="10"/>
        <v>5.7010959030650215</v>
      </c>
      <c r="F98" s="129" t="str">
        <f t="shared" si="11"/>
        <v>RuN</v>
      </c>
      <c r="G98" s="139">
        <f t="shared" si="3"/>
        <v>33.62018858966735</v>
      </c>
      <c r="H98" s="140">
        <f t="shared" si="12"/>
        <v>682.1524020401462</v>
      </c>
      <c r="I98" s="136"/>
      <c r="J98" s="157">
        <f t="shared" si="7"/>
        <v>0</v>
      </c>
      <c r="K98" s="157">
        <f t="shared" si="8"/>
        <v>0.6096687453121652</v>
      </c>
    </row>
    <row r="99" spans="1:11" s="153" customFormat="1" ht="12.75">
      <c r="A99" s="130">
        <v>28</v>
      </c>
      <c r="B99" s="22">
        <f t="shared" si="5"/>
        <v>126</v>
      </c>
      <c r="C99" s="11">
        <f t="shared" si="6"/>
        <v>0</v>
      </c>
      <c r="D99" s="132">
        <f t="shared" si="9"/>
        <v>17.16804775960749</v>
      </c>
      <c r="E99" s="133">
        <f t="shared" si="10"/>
        <v>0.13625434729847213</v>
      </c>
      <c r="F99" s="126" t="str">
        <f t="shared" si="11"/>
        <v>N</v>
      </c>
      <c r="G99" s="134">
        <f>D99</f>
        <v>17.16804775960749</v>
      </c>
      <c r="H99" s="119">
        <f t="shared" si="12"/>
        <v>0</v>
      </c>
      <c r="I99" s="131" t="s">
        <v>147</v>
      </c>
      <c r="J99" s="157">
        <f t="shared" si="7"/>
        <v>0</v>
      </c>
      <c r="K99" s="157">
        <f t="shared" si="8"/>
        <v>0.6096687453121652</v>
      </c>
    </row>
    <row r="100" spans="1:11" ht="12.75">
      <c r="A100" s="135">
        <v>40</v>
      </c>
      <c r="B100" s="22">
        <f t="shared" si="5"/>
        <v>126</v>
      </c>
      <c r="C100" s="11">
        <f t="shared" si="6"/>
        <v>67.05</v>
      </c>
      <c r="D100" s="137">
        <f t="shared" si="9"/>
        <v>87.80305549322387</v>
      </c>
      <c r="E100" s="138">
        <f t="shared" si="10"/>
        <v>0.696849646771618</v>
      </c>
      <c r="F100" s="129" t="str">
        <f t="shared" si="11"/>
        <v>RuN</v>
      </c>
      <c r="G100" s="139">
        <f t="shared" si="3"/>
        <v>33.740691057730665</v>
      </c>
      <c r="H100" s="140">
        <f t="shared" si="12"/>
        <v>54.0623644354932</v>
      </c>
      <c r="I100" s="136"/>
      <c r="J100" s="157">
        <f t="shared" si="7"/>
        <v>0</v>
      </c>
      <c r="K100" s="157">
        <f t="shared" si="8"/>
        <v>0.6096687453121652</v>
      </c>
    </row>
    <row r="101" spans="1:11" ht="12.75">
      <c r="A101" s="135">
        <v>48</v>
      </c>
      <c r="B101" s="22">
        <f t="shared" si="5"/>
        <v>129.60000000000002</v>
      </c>
      <c r="C101" s="11">
        <f t="shared" si="6"/>
        <v>271.8</v>
      </c>
      <c r="D101" s="137">
        <f t="shared" si="9"/>
        <v>281.3780517535472</v>
      </c>
      <c r="E101" s="138">
        <f t="shared" si="10"/>
        <v>2.171126942542802</v>
      </c>
      <c r="F101" s="129" t="str">
        <f t="shared" si="11"/>
        <v>RuN</v>
      </c>
      <c r="G101" s="139">
        <f t="shared" si="3"/>
        <v>34.704710802237265</v>
      </c>
      <c r="H101" s="140">
        <f t="shared" si="12"/>
        <v>246.67334095130994</v>
      </c>
      <c r="I101" s="136"/>
      <c r="J101" s="157">
        <f t="shared" si="7"/>
        <v>0</v>
      </c>
      <c r="K101" s="157">
        <f t="shared" si="8"/>
        <v>0.6096687453121652</v>
      </c>
    </row>
    <row r="102" spans="1:11" ht="12.75">
      <c r="A102" s="135">
        <v>35</v>
      </c>
      <c r="B102" s="22">
        <f t="shared" si="5"/>
        <v>141.75</v>
      </c>
      <c r="C102" s="11">
        <f t="shared" si="6"/>
        <v>114.75</v>
      </c>
      <c r="D102" s="137">
        <f t="shared" si="9"/>
        <v>128.11830639593524</v>
      </c>
      <c r="E102" s="138">
        <f t="shared" si="10"/>
        <v>0.9038328493540405</v>
      </c>
      <c r="F102" s="129" t="str">
        <f t="shared" si="11"/>
        <v>RuN</v>
      </c>
      <c r="G102" s="139">
        <f t="shared" si="3"/>
        <v>37.958277439947004</v>
      </c>
      <c r="H102" s="140">
        <f t="shared" si="12"/>
        <v>90.16002895598822</v>
      </c>
      <c r="I102" s="136"/>
      <c r="J102" s="157">
        <f t="shared" si="7"/>
        <v>0</v>
      </c>
      <c r="K102" s="157">
        <f t="shared" si="8"/>
        <v>0.6096687453121652</v>
      </c>
    </row>
    <row r="103" spans="1:11" ht="12.75">
      <c r="A103" s="135">
        <v>67</v>
      </c>
      <c r="B103" s="22">
        <f t="shared" si="5"/>
        <v>150.75</v>
      </c>
      <c r="C103" s="11">
        <f t="shared" si="6"/>
        <v>335.7</v>
      </c>
      <c r="D103" s="137">
        <f t="shared" si="9"/>
        <v>346.0518217901682</v>
      </c>
      <c r="E103" s="138">
        <f t="shared" si="10"/>
        <v>2.2955344729032716</v>
      </c>
      <c r="F103" s="129" t="str">
        <f t="shared" si="11"/>
        <v>RuN</v>
      </c>
      <c r="G103" s="139">
        <f t="shared" si="3"/>
        <v>40.36832680121348</v>
      </c>
      <c r="H103" s="140">
        <f t="shared" si="12"/>
        <v>305.68349498895475</v>
      </c>
      <c r="I103" s="136"/>
      <c r="J103" s="157">
        <f t="shared" si="7"/>
        <v>0</v>
      </c>
      <c r="K103" s="157">
        <f t="shared" si="8"/>
        <v>0.6096687453121652</v>
      </c>
    </row>
    <row r="104" spans="1:11" s="152" customFormat="1" ht="12.75">
      <c r="A104" s="135">
        <v>86</v>
      </c>
      <c r="B104" s="22">
        <f t="shared" si="5"/>
        <v>154.8</v>
      </c>
      <c r="C104" s="11">
        <f t="shared" si="6"/>
        <v>402.3</v>
      </c>
      <c r="D104" s="137">
        <f aca="true" t="shared" si="13" ref="D104:D135">C104+B104*(C$5*(1+C$3*SIN(A104)))</f>
        <v>412.29891794422633</v>
      </c>
      <c r="E104" s="138">
        <f aca="true" t="shared" si="14" ref="E104:E135">IF(B104&gt;0,D104/B104,10000)</f>
        <v>2.663429702482082</v>
      </c>
      <c r="F104" s="129" t="str">
        <f aca="true" t="shared" si="15" ref="F104:F134">IF(E104=10000,G$1,IF(D104=G104,H$1,I$1))</f>
        <v>RuN</v>
      </c>
      <c r="G104" s="139">
        <f>B104*C$10</f>
        <v>41.45284901378339</v>
      </c>
      <c r="H104" s="140">
        <v>0</v>
      </c>
      <c r="I104" s="136"/>
      <c r="J104" s="157">
        <f t="shared" si="7"/>
        <v>0</v>
      </c>
      <c r="K104" s="157">
        <f t="shared" si="8"/>
        <v>0.6096687453121652</v>
      </c>
    </row>
    <row r="105" spans="1:11" ht="12.75">
      <c r="A105" s="135">
        <v>51</v>
      </c>
      <c r="B105" s="22">
        <f aca="true" t="shared" si="16" ref="B105:B139">A105*C$4*ABS(ROUND(COS(A105)*10,0))</f>
        <v>160.65</v>
      </c>
      <c r="C105" s="11">
        <f aca="true" t="shared" si="17" ref="C105:C139">C$4*ROUND(ABS(SIN(A105+5)-1)*1000,0)</f>
        <v>684.9</v>
      </c>
      <c r="D105" s="137">
        <f t="shared" si="13"/>
        <v>710.6383390259542</v>
      </c>
      <c r="E105" s="138">
        <f t="shared" si="14"/>
        <v>4.423519072679453</v>
      </c>
      <c r="F105" s="129" t="str">
        <f t="shared" si="15"/>
        <v>RuN</v>
      </c>
      <c r="G105" s="139">
        <f>B105*C$10</f>
        <v>43.0193810986066</v>
      </c>
      <c r="H105" s="140">
        <f aca="true" t="shared" si="18" ref="H105:H139">D105-G105</f>
        <v>667.6189579273477</v>
      </c>
      <c r="I105" s="136"/>
      <c r="J105" s="157">
        <f aca="true" t="shared" si="19" ref="J105:J139">D$33</f>
        <v>0</v>
      </c>
      <c r="K105" s="157">
        <f aca="true" t="shared" si="20" ref="K105:K139">D$34</f>
        <v>0.6096687453121652</v>
      </c>
    </row>
    <row r="106" spans="1:11" ht="12.75">
      <c r="A106" s="135">
        <v>90</v>
      </c>
      <c r="B106" s="22">
        <f t="shared" si="16"/>
        <v>162</v>
      </c>
      <c r="C106" s="11">
        <f t="shared" si="17"/>
        <v>142.65</v>
      </c>
      <c r="D106" s="137">
        <f t="shared" si="13"/>
        <v>170.77964757019743</v>
      </c>
      <c r="E106" s="138">
        <f t="shared" si="14"/>
        <v>1.054195355371589</v>
      </c>
      <c r="F106" s="129" t="str">
        <f t="shared" si="15"/>
        <v>RuN</v>
      </c>
      <c r="G106" s="139">
        <f>B106*C$10</f>
        <v>43.38088850279657</v>
      </c>
      <c r="H106" s="140">
        <f t="shared" si="18"/>
        <v>127.39875906740085</v>
      </c>
      <c r="I106" s="136"/>
      <c r="J106" s="157">
        <f t="shared" si="19"/>
        <v>0</v>
      </c>
      <c r="K106" s="157">
        <f t="shared" si="20"/>
        <v>0.6096687453121652</v>
      </c>
    </row>
    <row r="107" spans="1:11" ht="12.75">
      <c r="A107" s="135">
        <v>38</v>
      </c>
      <c r="B107" s="22">
        <f t="shared" si="16"/>
        <v>171</v>
      </c>
      <c r="C107" s="11">
        <f t="shared" si="17"/>
        <v>824.4</v>
      </c>
      <c r="D107" s="137">
        <f t="shared" si="13"/>
        <v>847.9607416175583</v>
      </c>
      <c r="E107" s="138">
        <f t="shared" si="14"/>
        <v>4.95883474630151</v>
      </c>
      <c r="F107" s="129" t="str">
        <f t="shared" si="15"/>
        <v>RuN</v>
      </c>
      <c r="G107" s="139">
        <f>B107*C$10</f>
        <v>45.79093786406305</v>
      </c>
      <c r="H107" s="140">
        <f t="shared" si="18"/>
        <v>802.1698037534952</v>
      </c>
      <c r="I107" s="136"/>
      <c r="J107" s="157">
        <f t="shared" si="19"/>
        <v>0</v>
      </c>
      <c r="K107" s="157">
        <f t="shared" si="20"/>
        <v>0.6096687453121652</v>
      </c>
    </row>
    <row r="108" spans="1:11" ht="12.75">
      <c r="A108" s="135">
        <v>65</v>
      </c>
      <c r="B108" s="22">
        <f t="shared" si="16"/>
        <v>175.5</v>
      </c>
      <c r="C108" s="11">
        <f t="shared" si="17"/>
        <v>101.7</v>
      </c>
      <c r="D108" s="137">
        <f t="shared" si="13"/>
        <v>131.4665059950308</v>
      </c>
      <c r="E108" s="138">
        <f t="shared" si="14"/>
        <v>0.7490969002565857</v>
      </c>
      <c r="F108" s="129" t="str">
        <f t="shared" si="15"/>
        <v>RuN</v>
      </c>
      <c r="G108" s="139">
        <f>B108*C$10</f>
        <v>46.99596254469629</v>
      </c>
      <c r="H108" s="140">
        <f t="shared" si="18"/>
        <v>84.4705434503345</v>
      </c>
      <c r="I108" s="136"/>
      <c r="J108" s="157">
        <f t="shared" si="19"/>
        <v>0</v>
      </c>
      <c r="K108" s="157">
        <f t="shared" si="20"/>
        <v>0.6096687453121652</v>
      </c>
    </row>
    <row r="109" spans="1:11" ht="12.75">
      <c r="A109" s="130">
        <v>41</v>
      </c>
      <c r="B109" s="22">
        <f t="shared" si="16"/>
        <v>184.5</v>
      </c>
      <c r="C109" s="11">
        <f t="shared" si="17"/>
        <v>44.1</v>
      </c>
      <c r="D109" s="132">
        <f t="shared" si="13"/>
        <v>64.48404705633187</v>
      </c>
      <c r="E109" s="133">
        <f t="shared" si="14"/>
        <v>0.3495070301156199</v>
      </c>
      <c r="F109" s="126" t="str">
        <f t="shared" si="15"/>
        <v>N</v>
      </c>
      <c r="G109" s="134">
        <f>D109</f>
        <v>64.48404705633187</v>
      </c>
      <c r="H109" s="119">
        <f t="shared" si="18"/>
        <v>0</v>
      </c>
      <c r="I109" s="131" t="s">
        <v>139</v>
      </c>
      <c r="J109" s="157">
        <f t="shared" si="19"/>
        <v>0</v>
      </c>
      <c r="K109" s="157">
        <f t="shared" si="20"/>
        <v>0.6096687453121652</v>
      </c>
    </row>
    <row r="110" spans="1:11" ht="12.75">
      <c r="A110" s="135">
        <v>54</v>
      </c>
      <c r="B110" s="22">
        <f t="shared" si="16"/>
        <v>194.4</v>
      </c>
      <c r="C110" s="11">
        <f t="shared" si="17"/>
        <v>163.35</v>
      </c>
      <c r="D110" s="137">
        <f t="shared" si="13"/>
        <v>180.16028453419474</v>
      </c>
      <c r="E110" s="138">
        <f t="shared" si="14"/>
        <v>0.9267504348466807</v>
      </c>
      <c r="F110" s="129" t="str">
        <f t="shared" si="15"/>
        <v>RuN</v>
      </c>
      <c r="G110" s="139">
        <f>B110*C$10</f>
        <v>52.05706620335589</v>
      </c>
      <c r="H110" s="140">
        <f t="shared" si="18"/>
        <v>128.10321833083884</v>
      </c>
      <c r="I110" s="136"/>
      <c r="J110" s="157">
        <f t="shared" si="19"/>
        <v>0</v>
      </c>
      <c r="K110" s="157">
        <f t="shared" si="20"/>
        <v>0.6096687453121652</v>
      </c>
    </row>
    <row r="111" spans="1:11" ht="12.75">
      <c r="A111" s="135">
        <v>62</v>
      </c>
      <c r="B111" s="22">
        <f t="shared" si="16"/>
        <v>195.3</v>
      </c>
      <c r="C111" s="11">
        <f t="shared" si="17"/>
        <v>835.2</v>
      </c>
      <c r="D111" s="137">
        <f t="shared" si="13"/>
        <v>849.9742805966645</v>
      </c>
      <c r="E111" s="138">
        <f t="shared" si="14"/>
        <v>4.352146854053581</v>
      </c>
      <c r="F111" s="129" t="str">
        <f t="shared" si="15"/>
        <v>RuN</v>
      </c>
      <c r="G111" s="139">
        <f>B111*C$10</f>
        <v>52.29807113948254</v>
      </c>
      <c r="H111" s="140">
        <f t="shared" si="18"/>
        <v>797.6762094571819</v>
      </c>
      <c r="I111" s="136"/>
      <c r="J111" s="157">
        <f t="shared" si="19"/>
        <v>0</v>
      </c>
      <c r="K111" s="157">
        <f t="shared" si="20"/>
        <v>0.6096687453121652</v>
      </c>
    </row>
    <row r="112" spans="1:11" ht="12.75">
      <c r="A112" s="135">
        <v>44</v>
      </c>
      <c r="B112" s="22">
        <f t="shared" si="16"/>
        <v>198</v>
      </c>
      <c r="C112" s="11">
        <f t="shared" si="17"/>
        <v>879.3000000000001</v>
      </c>
      <c r="D112" s="137">
        <f t="shared" si="13"/>
        <v>903.2702988702524</v>
      </c>
      <c r="E112" s="138">
        <f t="shared" si="14"/>
        <v>4.561971206415416</v>
      </c>
      <c r="F112" s="129" t="str">
        <f t="shared" si="15"/>
        <v>RuN</v>
      </c>
      <c r="G112" s="139">
        <f>B112*C$10</f>
        <v>53.02108594786248</v>
      </c>
      <c r="H112" s="140">
        <f t="shared" si="18"/>
        <v>850.2492129223899</v>
      </c>
      <c r="I112" s="136"/>
      <c r="J112" s="157">
        <f t="shared" si="19"/>
        <v>0</v>
      </c>
      <c r="K112" s="157">
        <f t="shared" si="20"/>
        <v>0.6096687453121652</v>
      </c>
    </row>
    <row r="113" spans="1:11" ht="12.75">
      <c r="A113" s="135">
        <v>89</v>
      </c>
      <c r="B113" s="22">
        <f t="shared" si="16"/>
        <v>200.25000000000003</v>
      </c>
      <c r="C113" s="11">
        <f t="shared" si="17"/>
        <v>560.25</v>
      </c>
      <c r="D113" s="137">
        <f t="shared" si="13"/>
        <v>594.6137339108366</v>
      </c>
      <c r="E113" s="138">
        <f t="shared" si="14"/>
        <v>2.9693569733375105</v>
      </c>
      <c r="F113" s="129" t="str">
        <f t="shared" si="15"/>
        <v>RuN</v>
      </c>
      <c r="G113" s="139">
        <f>B113*C$10</f>
        <v>53.6235982881791</v>
      </c>
      <c r="H113" s="140">
        <f t="shared" si="18"/>
        <v>540.9901356226575</v>
      </c>
      <c r="I113" s="136"/>
      <c r="J113" s="157">
        <f t="shared" si="19"/>
        <v>0</v>
      </c>
      <c r="K113" s="157">
        <f t="shared" si="20"/>
        <v>0.6096687453121652</v>
      </c>
    </row>
    <row r="114" spans="1:11" s="1" customFormat="1" ht="12.75">
      <c r="A114" s="130">
        <v>47</v>
      </c>
      <c r="B114" s="22">
        <f t="shared" si="16"/>
        <v>211.50000000000003</v>
      </c>
      <c r="C114" s="11">
        <f t="shared" si="17"/>
        <v>5.8500000000000005</v>
      </c>
      <c r="D114" s="132">
        <f t="shared" si="13"/>
        <v>32.798142927636896</v>
      </c>
      <c r="E114" s="133">
        <f t="shared" si="14"/>
        <v>0.15507396183279853</v>
      </c>
      <c r="F114" s="126" t="str">
        <f t="shared" si="15"/>
        <v>N</v>
      </c>
      <c r="G114" s="134">
        <f>D114</f>
        <v>32.798142927636896</v>
      </c>
      <c r="H114" s="119">
        <f t="shared" si="18"/>
        <v>0</v>
      </c>
      <c r="I114" s="131" t="s">
        <v>147</v>
      </c>
      <c r="J114" s="157">
        <f t="shared" si="19"/>
        <v>0</v>
      </c>
      <c r="K114" s="157">
        <f t="shared" si="20"/>
        <v>0.6096687453121652</v>
      </c>
    </row>
    <row r="115" spans="1:11" s="69" customFormat="1" ht="12.75">
      <c r="A115" s="130">
        <v>59</v>
      </c>
      <c r="B115" s="22">
        <f t="shared" si="16"/>
        <v>212.4</v>
      </c>
      <c r="C115" s="11">
        <f t="shared" si="17"/>
        <v>36</v>
      </c>
      <c r="D115" s="132">
        <f t="shared" si="13"/>
        <v>69.60258916298118</v>
      </c>
      <c r="E115" s="133">
        <f t="shared" si="14"/>
        <v>0.3276958058520771</v>
      </c>
      <c r="F115" s="126" t="str">
        <f t="shared" si="15"/>
        <v>N</v>
      </c>
      <c r="G115" s="134">
        <f>D115</f>
        <v>69.60258916298118</v>
      </c>
      <c r="H115" s="119">
        <f t="shared" si="18"/>
        <v>0</v>
      </c>
      <c r="I115" s="131" t="s">
        <v>139</v>
      </c>
      <c r="J115" s="157">
        <f t="shared" si="19"/>
        <v>0</v>
      </c>
      <c r="K115" s="157">
        <f t="shared" si="20"/>
        <v>0.6096687453121652</v>
      </c>
    </row>
    <row r="116" spans="1:11" s="1" customFormat="1" ht="12.75">
      <c r="A116" s="130">
        <v>53</v>
      </c>
      <c r="B116" s="22">
        <f t="shared" si="16"/>
        <v>214.65</v>
      </c>
      <c r="C116" s="11">
        <f t="shared" si="17"/>
        <v>3.15</v>
      </c>
      <c r="D116" s="132">
        <f t="shared" si="13"/>
        <v>34.007120009191844</v>
      </c>
      <c r="E116" s="133">
        <f t="shared" si="14"/>
        <v>0.15843056142181153</v>
      </c>
      <c r="F116" s="126" t="str">
        <f t="shared" si="15"/>
        <v>N</v>
      </c>
      <c r="G116" s="134">
        <f>D116</f>
        <v>34.007120009191844</v>
      </c>
      <c r="H116" s="119">
        <f t="shared" si="18"/>
        <v>0</v>
      </c>
      <c r="I116" s="131" t="s">
        <v>147</v>
      </c>
      <c r="J116" s="157">
        <f t="shared" si="19"/>
        <v>0</v>
      </c>
      <c r="K116" s="157">
        <f t="shared" si="20"/>
        <v>0.6096687453121652</v>
      </c>
    </row>
    <row r="117" spans="1:11" s="69" customFormat="1" ht="12.75">
      <c r="A117" s="135">
        <v>50</v>
      </c>
      <c r="B117" s="22">
        <f t="shared" si="16"/>
        <v>225</v>
      </c>
      <c r="C117" s="11">
        <f t="shared" si="17"/>
        <v>900</v>
      </c>
      <c r="D117" s="137">
        <f t="shared" si="13"/>
        <v>923.4579394749969</v>
      </c>
      <c r="E117" s="138">
        <f t="shared" si="14"/>
        <v>4.104257508777764</v>
      </c>
      <c r="F117" s="129" t="str">
        <f t="shared" si="15"/>
        <v>RuN</v>
      </c>
      <c r="G117" s="139">
        <f aca="true" t="shared" si="21" ref="G117:G133">B117*C$10</f>
        <v>60.25123403166191</v>
      </c>
      <c r="H117" s="140">
        <f t="shared" si="18"/>
        <v>863.2067054433351</v>
      </c>
      <c r="I117" s="136"/>
      <c r="J117" s="157">
        <f t="shared" si="19"/>
        <v>0</v>
      </c>
      <c r="K117" s="157">
        <f t="shared" si="20"/>
        <v>0.6096687453121652</v>
      </c>
    </row>
    <row r="118" spans="1:11" ht="12.75">
      <c r="A118" s="135">
        <v>56</v>
      </c>
      <c r="B118" s="22">
        <f t="shared" si="16"/>
        <v>226.79999999999998</v>
      </c>
      <c r="C118" s="11">
        <f t="shared" si="17"/>
        <v>884.7</v>
      </c>
      <c r="D118" s="137">
        <f t="shared" si="13"/>
        <v>904.8187339636013</v>
      </c>
      <c r="E118" s="138">
        <f t="shared" si="14"/>
        <v>3.9895005906684364</v>
      </c>
      <c r="F118" s="129" t="str">
        <f t="shared" si="15"/>
        <v>RuN</v>
      </c>
      <c r="G118" s="139">
        <f t="shared" si="21"/>
        <v>60.733243903915195</v>
      </c>
      <c r="H118" s="140">
        <f t="shared" si="18"/>
        <v>844.0854900596861</v>
      </c>
      <c r="I118" s="136"/>
      <c r="J118" s="157">
        <f t="shared" si="19"/>
        <v>0</v>
      </c>
      <c r="K118" s="157">
        <f t="shared" si="20"/>
        <v>0.6096687453121652</v>
      </c>
    </row>
    <row r="119" spans="1:11" ht="12.75">
      <c r="A119" s="135">
        <v>57</v>
      </c>
      <c r="B119" s="22">
        <f t="shared" si="16"/>
        <v>230.85000000000002</v>
      </c>
      <c r="C119" s="11">
        <f t="shared" si="17"/>
        <v>782.5500000000001</v>
      </c>
      <c r="D119" s="137">
        <f t="shared" si="13"/>
        <v>816.2933180249377</v>
      </c>
      <c r="E119" s="138">
        <f t="shared" si="14"/>
        <v>3.536033433073154</v>
      </c>
      <c r="F119" s="129" t="str">
        <f t="shared" si="15"/>
        <v>RuN</v>
      </c>
      <c r="G119" s="139">
        <f t="shared" si="21"/>
        <v>61.817766116485124</v>
      </c>
      <c r="H119" s="140">
        <f t="shared" si="18"/>
        <v>754.4755519084525</v>
      </c>
      <c r="I119" s="136"/>
      <c r="J119" s="157">
        <f t="shared" si="19"/>
        <v>0</v>
      </c>
      <c r="K119" s="157">
        <f t="shared" si="20"/>
        <v>0.6096687453121652</v>
      </c>
    </row>
    <row r="120" spans="1:11" ht="12.75">
      <c r="A120" s="135">
        <v>87</v>
      </c>
      <c r="B120" s="22">
        <f t="shared" si="16"/>
        <v>234.89999999999998</v>
      </c>
      <c r="C120" s="11">
        <f t="shared" si="17"/>
        <v>800.5500000000001</v>
      </c>
      <c r="D120" s="137">
        <f t="shared" si="13"/>
        <v>817.1552994105252</v>
      </c>
      <c r="E120" s="138">
        <f t="shared" si="14"/>
        <v>3.4787369068136456</v>
      </c>
      <c r="F120" s="129" t="str">
        <f t="shared" si="15"/>
        <v>RuN</v>
      </c>
      <c r="G120" s="139">
        <f t="shared" si="21"/>
        <v>62.902288329055025</v>
      </c>
      <c r="H120" s="140">
        <f t="shared" si="18"/>
        <v>754.2530110814702</v>
      </c>
      <c r="I120" s="136"/>
      <c r="J120" s="157">
        <f t="shared" si="19"/>
        <v>0</v>
      </c>
      <c r="K120" s="157">
        <f t="shared" si="20"/>
        <v>0.6096687453121652</v>
      </c>
    </row>
    <row r="121" spans="1:11" ht="12.75">
      <c r="A121" s="135">
        <v>92</v>
      </c>
      <c r="B121" s="22">
        <f t="shared" si="16"/>
        <v>248.39999999999998</v>
      </c>
      <c r="C121" s="11">
        <f t="shared" si="17"/>
        <v>279</v>
      </c>
      <c r="D121" s="137">
        <f t="shared" si="13"/>
        <v>297.19083769844605</v>
      </c>
      <c r="E121" s="138">
        <f t="shared" si="14"/>
        <v>1.1964204416201534</v>
      </c>
      <c r="F121" s="129" t="str">
        <f t="shared" si="15"/>
        <v>RuN</v>
      </c>
      <c r="G121" s="139">
        <f t="shared" si="21"/>
        <v>66.51736237095474</v>
      </c>
      <c r="H121" s="140">
        <f t="shared" si="18"/>
        <v>230.6734753274913</v>
      </c>
      <c r="I121" s="136"/>
      <c r="J121" s="157">
        <f t="shared" si="19"/>
        <v>0</v>
      </c>
      <c r="K121" s="157">
        <f t="shared" si="20"/>
        <v>0.6096687453121652</v>
      </c>
    </row>
    <row r="122" spans="1:11" s="1" customFormat="1" ht="12.75">
      <c r="A122" s="130">
        <v>84</v>
      </c>
      <c r="B122" s="22">
        <f t="shared" si="16"/>
        <v>264.6</v>
      </c>
      <c r="C122" s="11">
        <f t="shared" si="17"/>
        <v>63</v>
      </c>
      <c r="D122" s="132">
        <f t="shared" si="13"/>
        <v>106.39212952148358</v>
      </c>
      <c r="E122" s="133">
        <f t="shared" si="14"/>
        <v>0.40208665729963555</v>
      </c>
      <c r="F122" s="126" t="str">
        <f t="shared" si="15"/>
        <v>N</v>
      </c>
      <c r="G122" s="134">
        <f>D122</f>
        <v>106.39212952148358</v>
      </c>
      <c r="H122" s="119">
        <f t="shared" si="18"/>
        <v>0</v>
      </c>
      <c r="I122" s="131" t="s">
        <v>134</v>
      </c>
      <c r="J122" s="157">
        <f t="shared" si="19"/>
        <v>0</v>
      </c>
      <c r="K122" s="157">
        <f t="shared" si="20"/>
        <v>0.6096687453121652</v>
      </c>
    </row>
    <row r="123" spans="1:11" s="153" customFormat="1" ht="12.75">
      <c r="A123" s="130">
        <v>60</v>
      </c>
      <c r="B123" s="22">
        <f t="shared" si="16"/>
        <v>270</v>
      </c>
      <c r="C123" s="11">
        <f t="shared" si="17"/>
        <v>77.85000000000001</v>
      </c>
      <c r="D123" s="132">
        <f t="shared" si="13"/>
        <v>105.3120679381441</v>
      </c>
      <c r="E123" s="133">
        <f t="shared" si="14"/>
        <v>0.3900446960672004</v>
      </c>
      <c r="F123" s="126" t="str">
        <f t="shared" si="15"/>
        <v>N</v>
      </c>
      <c r="G123" s="134">
        <f>D123</f>
        <v>105.3120679381441</v>
      </c>
      <c r="H123" s="119">
        <f t="shared" si="18"/>
        <v>0</v>
      </c>
      <c r="I123" s="131" t="s">
        <v>134</v>
      </c>
      <c r="J123" s="157">
        <f t="shared" si="19"/>
        <v>0</v>
      </c>
      <c r="K123" s="157">
        <f t="shared" si="20"/>
        <v>0.6096687453121652</v>
      </c>
    </row>
    <row r="124" spans="1:11" ht="12.75">
      <c r="A124" s="135">
        <v>76</v>
      </c>
      <c r="B124" s="22">
        <f t="shared" si="16"/>
        <v>273.6</v>
      </c>
      <c r="C124" s="11">
        <f t="shared" si="17"/>
        <v>733.5</v>
      </c>
      <c r="D124" s="137">
        <f t="shared" si="13"/>
        <v>775.6252229673205</v>
      </c>
      <c r="E124" s="138">
        <f t="shared" si="14"/>
        <v>2.834887510845469</v>
      </c>
      <c r="F124" s="129" t="str">
        <f t="shared" si="15"/>
        <v>RuN</v>
      </c>
      <c r="G124" s="139">
        <f t="shared" si="21"/>
        <v>73.26550058250089</v>
      </c>
      <c r="H124" s="140">
        <f t="shared" si="18"/>
        <v>702.3597223848196</v>
      </c>
      <c r="I124" s="136"/>
      <c r="J124" s="157">
        <f t="shared" si="19"/>
        <v>0</v>
      </c>
      <c r="K124" s="157">
        <f t="shared" si="20"/>
        <v>0.6096687453121652</v>
      </c>
    </row>
    <row r="125" spans="1:11" s="1" customFormat="1" ht="12.75">
      <c r="A125" s="135">
        <v>63</v>
      </c>
      <c r="B125" s="22">
        <f t="shared" si="16"/>
        <v>283.5</v>
      </c>
      <c r="C125" s="11">
        <f t="shared" si="17"/>
        <v>854.1</v>
      </c>
      <c r="D125" s="137">
        <f t="shared" si="13"/>
        <v>890.9667204621508</v>
      </c>
      <c r="E125" s="138">
        <f t="shared" si="14"/>
        <v>3.142739754716581</v>
      </c>
      <c r="F125" s="129" t="str">
        <f t="shared" si="15"/>
        <v>RuN</v>
      </c>
      <c r="G125" s="139">
        <f t="shared" si="21"/>
        <v>75.91655487989401</v>
      </c>
      <c r="H125" s="140">
        <f t="shared" si="18"/>
        <v>815.0501655822568</v>
      </c>
      <c r="I125" s="136"/>
      <c r="J125" s="157">
        <f t="shared" si="19"/>
        <v>0</v>
      </c>
      <c r="K125" s="157">
        <f t="shared" si="20"/>
        <v>0.6096687453121652</v>
      </c>
    </row>
    <row r="126" spans="1:11" s="50" customFormat="1" ht="12.75">
      <c r="A126" s="130">
        <v>66</v>
      </c>
      <c r="B126" s="22">
        <f t="shared" si="16"/>
        <v>297</v>
      </c>
      <c r="C126" s="11">
        <f t="shared" si="17"/>
        <v>22.05</v>
      </c>
      <c r="D126" s="132">
        <f t="shared" si="13"/>
        <v>57.216858435292906</v>
      </c>
      <c r="E126" s="133">
        <f t="shared" si="14"/>
        <v>0.1926493550009862</v>
      </c>
      <c r="F126" s="126" t="str">
        <f t="shared" si="15"/>
        <v>N</v>
      </c>
      <c r="G126" s="134">
        <f>D126</f>
        <v>57.216858435292906</v>
      </c>
      <c r="H126" s="119">
        <f t="shared" si="18"/>
        <v>0</v>
      </c>
      <c r="I126" s="131" t="s">
        <v>134</v>
      </c>
      <c r="J126" s="157">
        <f t="shared" si="19"/>
        <v>0</v>
      </c>
      <c r="K126" s="157">
        <f t="shared" si="20"/>
        <v>0.6096687453121652</v>
      </c>
    </row>
    <row r="127" spans="1:11" ht="12.75">
      <c r="A127" s="135">
        <v>95</v>
      </c>
      <c r="B127" s="22">
        <f t="shared" si="16"/>
        <v>299.25</v>
      </c>
      <c r="C127" s="11">
        <f t="shared" si="17"/>
        <v>677.7</v>
      </c>
      <c r="D127" s="137">
        <f t="shared" si="13"/>
        <v>725.8779640880871</v>
      </c>
      <c r="E127" s="138">
        <f t="shared" si="14"/>
        <v>2.4256573570195057</v>
      </c>
      <c r="F127" s="129" t="str">
        <f t="shared" si="15"/>
        <v>RuN</v>
      </c>
      <c r="G127" s="139">
        <f t="shared" si="21"/>
        <v>80.13414126211033</v>
      </c>
      <c r="H127" s="140">
        <f t="shared" si="18"/>
        <v>645.7438228259767</v>
      </c>
      <c r="I127" s="136"/>
      <c r="J127" s="157">
        <f t="shared" si="19"/>
        <v>0</v>
      </c>
      <c r="K127" s="157">
        <f t="shared" si="20"/>
        <v>0.6096687453121652</v>
      </c>
    </row>
    <row r="128" spans="1:11" ht="12.75">
      <c r="A128" s="135">
        <v>75</v>
      </c>
      <c r="B128" s="22">
        <f t="shared" si="16"/>
        <v>303.75</v>
      </c>
      <c r="C128" s="11">
        <f t="shared" si="17"/>
        <v>897.3000000000001</v>
      </c>
      <c r="D128" s="137">
        <f t="shared" si="13"/>
        <v>926.6826796946632</v>
      </c>
      <c r="E128" s="138">
        <f t="shared" si="14"/>
        <v>3.0508071759495086</v>
      </c>
      <c r="F128" s="129" t="str">
        <f t="shared" si="15"/>
        <v>RuN</v>
      </c>
      <c r="G128" s="139">
        <f t="shared" si="21"/>
        <v>81.33916594274358</v>
      </c>
      <c r="H128" s="140">
        <f t="shared" si="18"/>
        <v>845.3435137519197</v>
      </c>
      <c r="I128" s="136"/>
      <c r="J128" s="157">
        <f t="shared" si="19"/>
        <v>0</v>
      </c>
      <c r="K128" s="157">
        <f t="shared" si="20"/>
        <v>0.6096687453121652</v>
      </c>
    </row>
    <row r="129" spans="1:11" ht="12.75">
      <c r="A129" s="135">
        <v>69</v>
      </c>
      <c r="B129" s="22">
        <f t="shared" si="16"/>
        <v>310.5</v>
      </c>
      <c r="C129" s="11">
        <f t="shared" si="17"/>
        <v>893.25</v>
      </c>
      <c r="D129" s="137">
        <f t="shared" si="13"/>
        <v>928.3715589192192</v>
      </c>
      <c r="E129" s="138">
        <f t="shared" si="14"/>
        <v>2.989924505375907</v>
      </c>
      <c r="F129" s="129" t="str">
        <f t="shared" si="15"/>
        <v>RuN</v>
      </c>
      <c r="G129" s="139">
        <f t="shared" si="21"/>
        <v>83.14670296369343</v>
      </c>
      <c r="H129" s="140">
        <f t="shared" si="18"/>
        <v>845.2248559555258</v>
      </c>
      <c r="I129" s="136"/>
      <c r="J129" s="157">
        <f t="shared" si="19"/>
        <v>0</v>
      </c>
      <c r="K129" s="157">
        <f t="shared" si="20"/>
        <v>0.6096687453121652</v>
      </c>
    </row>
    <row r="130" spans="1:11" s="1" customFormat="1" ht="12.75">
      <c r="A130" s="130">
        <v>78</v>
      </c>
      <c r="B130" s="22">
        <f t="shared" si="16"/>
        <v>315.90000000000003</v>
      </c>
      <c r="C130" s="11">
        <f t="shared" si="17"/>
        <v>14.4</v>
      </c>
      <c r="D130" s="132">
        <f t="shared" si="13"/>
        <v>62.049947654787736</v>
      </c>
      <c r="E130" s="133">
        <f t="shared" si="14"/>
        <v>0.19642275294329767</v>
      </c>
      <c r="F130" s="126" t="str">
        <f t="shared" si="15"/>
        <v>N</v>
      </c>
      <c r="G130" s="134">
        <f>D130</f>
        <v>62.049947654787736</v>
      </c>
      <c r="H130" s="119">
        <f t="shared" si="18"/>
        <v>0</v>
      </c>
      <c r="I130" s="131" t="s">
        <v>134</v>
      </c>
      <c r="J130" s="157">
        <f t="shared" si="19"/>
        <v>0</v>
      </c>
      <c r="K130" s="157">
        <f t="shared" si="20"/>
        <v>0.6096687453121652</v>
      </c>
    </row>
    <row r="131" spans="1:11" s="1" customFormat="1" ht="12.75">
      <c r="A131" s="130">
        <v>79</v>
      </c>
      <c r="B131" s="22">
        <f t="shared" si="16"/>
        <v>319.95000000000005</v>
      </c>
      <c r="C131" s="11">
        <f t="shared" si="17"/>
        <v>120.15</v>
      </c>
      <c r="D131" s="132">
        <f t="shared" si="13"/>
        <v>150.01836909882198</v>
      </c>
      <c r="E131" s="133">
        <f t="shared" si="14"/>
        <v>0.46888066603788703</v>
      </c>
      <c r="F131" s="126" t="str">
        <f t="shared" si="15"/>
        <v>N</v>
      </c>
      <c r="G131" s="134">
        <f>D131</f>
        <v>150.01836909882198</v>
      </c>
      <c r="H131" s="119">
        <f t="shared" si="18"/>
        <v>0</v>
      </c>
      <c r="I131" s="131" t="s">
        <v>147</v>
      </c>
      <c r="J131" s="157">
        <f t="shared" si="19"/>
        <v>0</v>
      </c>
      <c r="K131" s="157">
        <f t="shared" si="20"/>
        <v>0.6096687453121652</v>
      </c>
    </row>
    <row r="132" spans="1:11" s="153" customFormat="1" ht="12.75">
      <c r="A132" s="130">
        <v>72</v>
      </c>
      <c r="B132" s="22">
        <f t="shared" si="16"/>
        <v>324</v>
      </c>
      <c r="C132" s="11">
        <f t="shared" si="17"/>
        <v>0</v>
      </c>
      <c r="D132" s="132">
        <f t="shared" si="13"/>
        <v>43.81432617209398</v>
      </c>
      <c r="E132" s="133">
        <f t="shared" si="14"/>
        <v>0.13522940176572215</v>
      </c>
      <c r="F132" s="126" t="str">
        <f t="shared" si="15"/>
        <v>N</v>
      </c>
      <c r="G132" s="134">
        <f>D132</f>
        <v>43.81432617209398</v>
      </c>
      <c r="H132" s="119">
        <f t="shared" si="18"/>
        <v>0</v>
      </c>
      <c r="I132" s="131" t="s">
        <v>147</v>
      </c>
      <c r="J132" s="157">
        <f t="shared" si="19"/>
        <v>0</v>
      </c>
      <c r="K132" s="157">
        <f t="shared" si="20"/>
        <v>0.6096687453121652</v>
      </c>
    </row>
    <row r="133" spans="1:11" ht="12.75">
      <c r="A133" s="135">
        <v>82</v>
      </c>
      <c r="B133" s="22">
        <f t="shared" si="16"/>
        <v>332.09999999999997</v>
      </c>
      <c r="C133" s="11">
        <f t="shared" si="17"/>
        <v>819.9</v>
      </c>
      <c r="D133" s="137">
        <f t="shared" si="13"/>
        <v>865.9933967187616</v>
      </c>
      <c r="E133" s="138">
        <f t="shared" si="14"/>
        <v>2.6076284152928686</v>
      </c>
      <c r="F133" s="129" t="str">
        <f t="shared" si="15"/>
        <v>RuN</v>
      </c>
      <c r="G133" s="139">
        <f t="shared" si="21"/>
        <v>88.93082143073296</v>
      </c>
      <c r="H133" s="140">
        <f t="shared" si="18"/>
        <v>777.0625752880286</v>
      </c>
      <c r="I133" s="136"/>
      <c r="J133" s="157">
        <f t="shared" si="19"/>
        <v>0</v>
      </c>
      <c r="K133" s="157">
        <f t="shared" si="20"/>
        <v>0.6096687453121652</v>
      </c>
    </row>
    <row r="134" spans="1:11" s="1" customFormat="1" ht="12.75">
      <c r="A134" s="130">
        <v>85</v>
      </c>
      <c r="B134" s="22">
        <f t="shared" si="16"/>
        <v>382.5</v>
      </c>
      <c r="C134" s="11">
        <f t="shared" si="17"/>
        <v>47.7</v>
      </c>
      <c r="D134" s="132">
        <f t="shared" si="13"/>
        <v>89.55906452217992</v>
      </c>
      <c r="E134" s="133">
        <f t="shared" si="14"/>
        <v>0.23414134515602594</v>
      </c>
      <c r="F134" s="126" t="str">
        <f t="shared" si="15"/>
        <v>N</v>
      </c>
      <c r="G134" s="134">
        <f>D134</f>
        <v>89.55906452217992</v>
      </c>
      <c r="H134" s="119">
        <f t="shared" si="18"/>
        <v>0</v>
      </c>
      <c r="I134" s="131" t="s">
        <v>139</v>
      </c>
      <c r="J134" s="157">
        <f t="shared" si="19"/>
        <v>0</v>
      </c>
      <c r="K134" s="157">
        <f t="shared" si="20"/>
        <v>0.6096687453121652</v>
      </c>
    </row>
    <row r="135" spans="1:11" s="1" customFormat="1" ht="12.75">
      <c r="A135" s="130">
        <v>97</v>
      </c>
      <c r="B135" s="22">
        <f t="shared" si="16"/>
        <v>392.84999999999997</v>
      </c>
      <c r="C135" s="11">
        <f t="shared" si="17"/>
        <v>2.25</v>
      </c>
      <c r="D135" s="132">
        <f t="shared" si="13"/>
        <v>58.33973401661771</v>
      </c>
      <c r="E135" s="133">
        <f t="shared" si="14"/>
        <v>0.1485038412030488</v>
      </c>
      <c r="F135" s="126" t="s">
        <v>54</v>
      </c>
      <c r="G135" s="134">
        <f>D135</f>
        <v>58.33973401661771</v>
      </c>
      <c r="H135" s="119">
        <f t="shared" si="18"/>
        <v>0</v>
      </c>
      <c r="I135" s="131" t="s">
        <v>147</v>
      </c>
      <c r="J135" s="157">
        <f t="shared" si="19"/>
        <v>0</v>
      </c>
      <c r="K135" s="157">
        <f t="shared" si="20"/>
        <v>0.6096687453121652</v>
      </c>
    </row>
    <row r="136" spans="1:11" ht="12.75">
      <c r="A136" s="135">
        <v>88</v>
      </c>
      <c r="B136" s="22">
        <f t="shared" si="16"/>
        <v>396</v>
      </c>
      <c r="C136" s="11">
        <f t="shared" si="17"/>
        <v>876.6</v>
      </c>
      <c r="D136" s="137">
        <f>C136+B136*(C$5*(1+C$3*SIN(A136)))</f>
        <v>924.9610636729518</v>
      </c>
      <c r="E136" s="138">
        <f>IF(B136&gt;0,D136/B136,10000)</f>
        <v>2.335760261800383</v>
      </c>
      <c r="F136" s="129" t="str">
        <f>IF(E136=10000,G$1,IF(D136=G136,H$1,I$1))</f>
        <v>RuN</v>
      </c>
      <c r="G136" s="139">
        <f>B136*C$10</f>
        <v>106.04217189572496</v>
      </c>
      <c r="H136" s="140">
        <f t="shared" si="18"/>
        <v>818.9188917772268</v>
      </c>
      <c r="I136" s="136"/>
      <c r="J136" s="157">
        <f t="shared" si="19"/>
        <v>0</v>
      </c>
      <c r="K136" s="157">
        <f t="shared" si="20"/>
        <v>0.6096687453121652</v>
      </c>
    </row>
    <row r="137" spans="1:11" ht="12.75">
      <c r="A137" s="135">
        <v>100</v>
      </c>
      <c r="B137" s="22">
        <f t="shared" si="16"/>
        <v>405</v>
      </c>
      <c r="C137" s="11">
        <f t="shared" si="17"/>
        <v>886.95</v>
      </c>
      <c r="D137" s="137">
        <f>C137+B137*(C$5*(1+C$3*SIN(A137)))</f>
        <v>923.2453149210329</v>
      </c>
      <c r="E137" s="138">
        <f>IF(B137&gt;0,D137/B137,10000)</f>
        <v>2.2796180615334145</v>
      </c>
      <c r="F137" s="129" t="str">
        <f>IF(E137=10000,G$1,IF(D137=G137,H$1,I$1))</f>
        <v>RuN</v>
      </c>
      <c r="G137" s="139">
        <f>B137*C$10</f>
        <v>108.45222125699144</v>
      </c>
      <c r="H137" s="140">
        <f t="shared" si="18"/>
        <v>814.7930936640414</v>
      </c>
      <c r="I137" s="136"/>
      <c r="J137" s="157">
        <f t="shared" si="19"/>
        <v>0</v>
      </c>
      <c r="K137" s="157">
        <f t="shared" si="20"/>
        <v>0.6096687453121652</v>
      </c>
    </row>
    <row r="138" spans="1:11" s="1" customFormat="1" ht="12.75">
      <c r="A138" s="130">
        <v>91</v>
      </c>
      <c r="B138" s="22">
        <f t="shared" si="16"/>
        <v>409.5</v>
      </c>
      <c r="C138" s="11">
        <f t="shared" si="17"/>
        <v>7.2</v>
      </c>
      <c r="D138" s="132">
        <f>C138+B138*(C$5*(1+C$3*SIN(A138)))</f>
        <v>58.94411316372592</v>
      </c>
      <c r="E138" s="133">
        <f>IF(B138&gt;0,D138/B138,10000)</f>
        <v>0.143941668287487</v>
      </c>
      <c r="F138" s="126" t="str">
        <f>IF(E138=10000,G$1,IF(D138=G138,H$1,I$1))</f>
        <v>N</v>
      </c>
      <c r="G138" s="134">
        <f>D138</f>
        <v>58.94411316372592</v>
      </c>
      <c r="H138" s="119">
        <f t="shared" si="18"/>
        <v>0</v>
      </c>
      <c r="I138" s="131" t="s">
        <v>147</v>
      </c>
      <c r="J138" s="157">
        <f t="shared" si="19"/>
        <v>0</v>
      </c>
      <c r="K138" s="157">
        <f t="shared" si="20"/>
        <v>0.6096687453121652</v>
      </c>
    </row>
    <row r="139" spans="1:11" ht="13.5" thickBot="1">
      <c r="A139" s="159">
        <v>94</v>
      </c>
      <c r="B139" s="22">
        <f t="shared" si="16"/>
        <v>423.00000000000006</v>
      </c>
      <c r="C139" s="11">
        <f t="shared" si="17"/>
        <v>899.5500000000001</v>
      </c>
      <c r="D139" s="137">
        <f>C139+B139*(C$5*(1+C$3*SIN(A139)))</f>
        <v>944.085504608831</v>
      </c>
      <c r="E139" s="161">
        <f>IF(B139&gt;0,D139/B139,10000)</f>
        <v>2.2318806255527917</v>
      </c>
      <c r="F139" s="129" t="str">
        <f>IF(E139=10000,G$1,IF(D139=G139,H$1,I$1))</f>
        <v>RuN</v>
      </c>
      <c r="G139" s="139">
        <f>B139*C$10</f>
        <v>113.2723199795244</v>
      </c>
      <c r="H139" s="162">
        <f t="shared" si="18"/>
        <v>830.8131846293066</v>
      </c>
      <c r="I139" s="160"/>
      <c r="J139" s="157">
        <f t="shared" si="19"/>
        <v>0</v>
      </c>
      <c r="K139" s="157">
        <f t="shared" si="20"/>
        <v>0.6096687453121652</v>
      </c>
    </row>
    <row r="140" spans="1:9" ht="13.5" thickBot="1">
      <c r="A140" s="145"/>
      <c r="B140" s="146">
        <f>SUM(B40:B139)</f>
        <v>13032.45</v>
      </c>
      <c r="C140" s="147">
        <f>SUM(C40:C139)</f>
        <v>44285.399999999994</v>
      </c>
      <c r="D140" s="148">
        <f>SUM(D40:D139)</f>
        <v>45857.12221900967</v>
      </c>
      <c r="E140" s="149">
        <f>MIN(E40:E139)</f>
        <v>0.13522940176572215</v>
      </c>
      <c r="F140" s="150" t="s">
        <v>0</v>
      </c>
      <c r="G140" s="148">
        <f>SUM(G40:G139)</f>
        <v>3387.5177228174985</v>
      </c>
      <c r="H140" s="148">
        <f>SUM(H40:H139)</f>
        <v>42098.75842726174</v>
      </c>
      <c r="I140" s="151" t="s">
        <v>8</v>
      </c>
    </row>
    <row r="141" spans="1:9" ht="13.5" thickBot="1">
      <c r="A141" s="10"/>
      <c r="B141" s="51" t="s">
        <v>95</v>
      </c>
      <c r="C141" s="50"/>
      <c r="D141" s="52" t="s">
        <v>96</v>
      </c>
      <c r="E141" s="60"/>
      <c r="G141" s="51" t="s">
        <v>97</v>
      </c>
      <c r="H141" s="51" t="s">
        <v>98</v>
      </c>
      <c r="I141" s="10"/>
    </row>
  </sheetData>
  <mergeCells count="3">
    <mergeCell ref="B37:D37"/>
    <mergeCell ref="G37:H38"/>
    <mergeCell ref="I37:I38"/>
  </mergeCells>
  <printOptions/>
  <pageMargins left="0.75" right="0.75" top="1" bottom="1" header="0.5" footer="0.5"/>
  <pageSetup horizontalDpi="600" verticalDpi="600" orientation="portrait" paperSize="9" r:id="rId4"/>
  <headerFooter alignWithMargins="0">
    <oddHeader>&amp;LЗадача с двумя емкостями. Модель.&amp;R&amp;P</oddHeader>
  </headerFooter>
  <rowBreaks count="1" manualBreakCount="1">
    <brk id="142" max="255" man="1"/>
  </rowBreaks>
  <drawing r:id="rId3"/>
  <legacyDrawing r:id="rId2"/>
</worksheet>
</file>

<file path=xl/worksheets/sheet6.xml><?xml version="1.0" encoding="utf-8"?>
<worksheet xmlns="http://schemas.openxmlformats.org/spreadsheetml/2006/main" xmlns:r="http://schemas.openxmlformats.org/officeDocument/2006/relationships">
  <dimension ref="A1:K128"/>
  <sheetViews>
    <sheetView workbookViewId="0" topLeftCell="A2">
      <selection activeCell="A1" sqref="A1"/>
    </sheetView>
  </sheetViews>
  <sheetFormatPr defaultColWidth="9.00390625" defaultRowHeight="12.75"/>
  <cols>
    <col min="1" max="1" width="3.875" style="0" customWidth="1"/>
    <col min="2" max="2" width="6.25390625" style="0" customWidth="1"/>
    <col min="3" max="3" width="10.50390625" style="0" customWidth="1"/>
    <col min="4" max="4" width="11.50390625" style="2" customWidth="1"/>
    <col min="5" max="5" width="9.50390625" style="6" bestFit="1" customWidth="1"/>
    <col min="6" max="6" width="8.875" style="23" customWidth="1"/>
    <col min="7" max="7" width="8.50390625" style="0" customWidth="1"/>
    <col min="8" max="8" width="10.25390625" style="0" customWidth="1"/>
    <col min="9" max="9" width="17.625" style="0" customWidth="1"/>
    <col min="10" max="10" width="3.50390625" style="0" customWidth="1"/>
    <col min="11" max="11" width="3.125" style="0" customWidth="1"/>
  </cols>
  <sheetData>
    <row r="1" spans="7:9" ht="12.75" customHeight="1" hidden="1">
      <c r="G1" t="s">
        <v>4</v>
      </c>
      <c r="H1" t="s">
        <v>54</v>
      </c>
      <c r="I1" t="s">
        <v>329</v>
      </c>
    </row>
    <row r="2" spans="3:6" s="1" customFormat="1" ht="12.75">
      <c r="C2" s="1" t="s">
        <v>165</v>
      </c>
      <c r="D2" s="168"/>
      <c r="E2" s="169"/>
      <c r="F2" s="170"/>
    </row>
    <row r="3" spans="2:4" ht="12.75">
      <c r="B3" s="37" t="s">
        <v>66</v>
      </c>
      <c r="C3" s="188">
        <v>0.5</v>
      </c>
      <c r="D3" s="2" t="s">
        <v>101</v>
      </c>
    </row>
    <row r="4" spans="2:4" ht="12.75">
      <c r="B4" s="115" t="s">
        <v>160</v>
      </c>
      <c r="C4" s="90">
        <v>0.45</v>
      </c>
      <c r="D4" s="2" t="s">
        <v>162</v>
      </c>
    </row>
    <row r="5" spans="2:8" ht="12.75">
      <c r="B5" s="37" t="s">
        <v>1</v>
      </c>
      <c r="C5" s="188">
        <f>0.12</f>
        <v>0.12</v>
      </c>
      <c r="D5" s="56" t="s">
        <v>2</v>
      </c>
      <c r="E5" s="57" t="s">
        <v>102</v>
      </c>
      <c r="F5" s="58"/>
      <c r="G5" s="59"/>
      <c r="H5" s="59"/>
    </row>
    <row r="6" spans="2:8" ht="12.75">
      <c r="B6" s="37" t="s">
        <v>67</v>
      </c>
      <c r="C6" s="91">
        <f>E76</f>
        <v>0.31946892144257577</v>
      </c>
      <c r="D6" s="56" t="s">
        <v>140</v>
      </c>
      <c r="E6" s="57"/>
      <c r="F6" s="58"/>
      <c r="G6" s="59"/>
      <c r="H6" s="59"/>
    </row>
    <row r="7" spans="2:8" ht="12.75">
      <c r="B7" s="37" t="s">
        <v>68</v>
      </c>
      <c r="C7" s="91">
        <f>E96</f>
        <v>0.3495070301156199</v>
      </c>
      <c r="D7" s="56" t="s">
        <v>141</v>
      </c>
      <c r="E7" s="57"/>
      <c r="F7" s="58"/>
      <c r="G7" s="59"/>
      <c r="H7" s="59"/>
    </row>
    <row r="8" spans="2:8" ht="12.75">
      <c r="B8" s="37" t="s">
        <v>74</v>
      </c>
      <c r="C8" s="91">
        <f>E102</f>
        <v>0.3276958058520771</v>
      </c>
      <c r="D8" s="56" t="s">
        <v>142</v>
      </c>
      <c r="E8" s="57"/>
      <c r="F8" s="58"/>
      <c r="G8" s="59"/>
      <c r="H8" s="59"/>
    </row>
    <row r="9" spans="2:4" ht="12.75">
      <c r="B9" s="92" t="s">
        <v>0</v>
      </c>
      <c r="C9" s="93">
        <f>D15</f>
        <v>0.3322239191367576</v>
      </c>
      <c r="D9" s="2" t="s">
        <v>84</v>
      </c>
    </row>
    <row r="10" spans="2:8" ht="12.75">
      <c r="B10" s="37" t="s">
        <v>19</v>
      </c>
      <c r="C10" s="94">
        <f>B127*C5/D127</f>
        <v>0.034103622825064704</v>
      </c>
      <c r="D10" s="56" t="s">
        <v>6</v>
      </c>
      <c r="E10" s="57" t="s">
        <v>99</v>
      </c>
      <c r="F10" s="58"/>
      <c r="G10" s="59"/>
      <c r="H10" s="59"/>
    </row>
    <row r="11" spans="2:8" ht="12.75">
      <c r="B11" s="183" t="s">
        <v>19</v>
      </c>
      <c r="C11" s="184">
        <f>G127/D127</f>
        <v>0.09443802016649035</v>
      </c>
      <c r="D11" s="185" t="s">
        <v>7</v>
      </c>
      <c r="E11" s="186" t="s">
        <v>100</v>
      </c>
      <c r="F11" s="187" t="s">
        <v>159</v>
      </c>
      <c r="G11" s="59"/>
      <c r="H11" s="59"/>
    </row>
    <row r="12" spans="2:8" ht="13.5" thickBot="1">
      <c r="B12" s="67"/>
      <c r="C12" s="68"/>
      <c r="D12" s="56"/>
      <c r="E12" s="57"/>
      <c r="F12" s="58"/>
      <c r="G12" s="59"/>
      <c r="H12" s="59"/>
    </row>
    <row r="13" spans="2:9" ht="12.75">
      <c r="B13" s="76"/>
      <c r="C13" s="77" t="s">
        <v>330</v>
      </c>
      <c r="D13" s="77"/>
      <c r="E13" s="77"/>
      <c r="F13" s="77"/>
      <c r="G13" s="77"/>
      <c r="H13" s="77"/>
      <c r="I13" s="78"/>
    </row>
    <row r="14" spans="2:9" ht="12.75">
      <c r="B14" s="108" t="s">
        <v>81</v>
      </c>
      <c r="C14" s="86" t="s">
        <v>143</v>
      </c>
      <c r="D14" s="87"/>
      <c r="E14" s="87" t="s">
        <v>129</v>
      </c>
      <c r="F14" s="87"/>
      <c r="G14" s="87"/>
      <c r="H14" s="87"/>
      <c r="I14" s="109"/>
    </row>
    <row r="15" spans="2:9" ht="12.75">
      <c r="B15" s="79"/>
      <c r="C15" s="59" t="s">
        <v>0</v>
      </c>
      <c r="D15" s="81">
        <f>AVERAGE(C$6,C$7,C$8)</f>
        <v>0.3322239191367576</v>
      </c>
      <c r="E15" s="59" t="s">
        <v>71</v>
      </c>
      <c r="F15" s="59"/>
      <c r="G15" s="59"/>
      <c r="H15" s="59"/>
      <c r="I15" s="80"/>
    </row>
    <row r="16" spans="2:9" ht="12.75">
      <c r="B16" s="79"/>
      <c r="C16" s="59" t="s">
        <v>72</v>
      </c>
      <c r="D16" s="81">
        <f>STDEVP(C$6,C$7,C$8)</f>
        <v>0.012674116684607708</v>
      </c>
      <c r="E16" s="59" t="s">
        <v>122</v>
      </c>
      <c r="F16" s="59"/>
      <c r="G16" s="59"/>
      <c r="H16" s="59"/>
      <c r="I16" s="80"/>
    </row>
    <row r="17" spans="2:10" ht="12.75">
      <c r="B17" s="79"/>
      <c r="C17" s="121" t="s">
        <v>158</v>
      </c>
      <c r="D17" s="68">
        <f>D16/D15</f>
        <v>0.03814932024623579</v>
      </c>
      <c r="E17" s="121" t="s">
        <v>123</v>
      </c>
      <c r="F17" s="121"/>
      <c r="G17" s="121"/>
      <c r="H17" s="121" t="s">
        <v>153</v>
      </c>
      <c r="I17" s="171" t="s">
        <v>157</v>
      </c>
      <c r="J17" s="69"/>
    </row>
    <row r="18" spans="2:9" ht="12.75">
      <c r="B18" s="79"/>
      <c r="C18" s="121"/>
      <c r="D18" s="81">
        <f>D15-3*D16</f>
        <v>0.2942015690829345</v>
      </c>
      <c r="E18" s="121" t="s">
        <v>150</v>
      </c>
      <c r="F18" s="59"/>
      <c r="G18" s="59"/>
      <c r="H18" s="59"/>
      <c r="I18" s="80"/>
    </row>
    <row r="19" spans="2:9" ht="13.5" thickBot="1">
      <c r="B19" s="79"/>
      <c r="C19" s="59"/>
      <c r="D19" s="81">
        <f>D15+3*D16</f>
        <v>0.3702462691905807</v>
      </c>
      <c r="E19" s="59" t="s">
        <v>126</v>
      </c>
      <c r="F19" s="59"/>
      <c r="G19" s="59"/>
      <c r="H19" s="59"/>
      <c r="I19" s="80"/>
    </row>
    <row r="20" spans="2:9" ht="12.75">
      <c r="B20" s="163" t="s">
        <v>76</v>
      </c>
      <c r="C20" s="77" t="s">
        <v>151</v>
      </c>
      <c r="D20" s="164"/>
      <c r="E20" s="77"/>
      <c r="F20" s="77"/>
      <c r="G20" s="77"/>
      <c r="H20" s="77"/>
      <c r="I20" s="78"/>
    </row>
    <row r="21" spans="2:9" ht="13.5" thickBot="1">
      <c r="B21" s="82"/>
      <c r="C21" s="167" t="s">
        <v>143</v>
      </c>
      <c r="D21" s="83"/>
      <c r="E21" s="165" t="s">
        <v>152</v>
      </c>
      <c r="F21" s="166"/>
      <c r="G21" s="83"/>
      <c r="H21" s="83"/>
      <c r="I21" s="85"/>
    </row>
    <row r="22" spans="2:9" ht="12.75">
      <c r="B22" s="59"/>
      <c r="C22" s="59"/>
      <c r="D22" s="81"/>
      <c r="E22" s="59"/>
      <c r="F22" s="59"/>
      <c r="G22" s="59"/>
      <c r="H22" s="59"/>
      <c r="I22" s="59"/>
    </row>
    <row r="23" spans="2:8" ht="15" customHeight="1">
      <c r="B23" s="67"/>
      <c r="C23" s="68"/>
      <c r="D23" s="56"/>
      <c r="E23" s="57"/>
      <c r="F23" s="58"/>
      <c r="G23" s="59"/>
      <c r="H23" s="59"/>
    </row>
    <row r="24" spans="1:10" ht="24.75" customHeight="1">
      <c r="A24" s="115"/>
      <c r="B24" s="693" t="s">
        <v>87</v>
      </c>
      <c r="C24" s="694"/>
      <c r="D24" s="695"/>
      <c r="E24" s="7"/>
      <c r="F24" s="117"/>
      <c r="G24" s="696" t="s">
        <v>88</v>
      </c>
      <c r="H24" s="685"/>
      <c r="I24" s="691" t="s">
        <v>29</v>
      </c>
      <c r="J24" t="s">
        <v>138</v>
      </c>
    </row>
    <row r="25" spans="1:9" ht="12.75">
      <c r="A25" s="115"/>
      <c r="B25" s="116"/>
      <c r="C25" s="115"/>
      <c r="D25" s="34" t="s">
        <v>94</v>
      </c>
      <c r="E25" s="7"/>
      <c r="F25" s="118" t="s">
        <v>3</v>
      </c>
      <c r="G25" s="683"/>
      <c r="H25" s="686"/>
      <c r="I25" s="692"/>
    </row>
    <row r="26" spans="1:11" ht="12.75">
      <c r="A26" s="95" t="s">
        <v>18</v>
      </c>
      <c r="B26" s="96" t="s">
        <v>91</v>
      </c>
      <c r="C26" s="97" t="s">
        <v>90</v>
      </c>
      <c r="D26" s="98" t="s">
        <v>92</v>
      </c>
      <c r="E26" s="99" t="s">
        <v>93</v>
      </c>
      <c r="F26" s="25"/>
      <c r="G26" s="36" t="s">
        <v>89</v>
      </c>
      <c r="H26" s="448" t="s">
        <v>90</v>
      </c>
      <c r="I26" s="97"/>
      <c r="J26" t="s">
        <v>136</v>
      </c>
      <c r="K26" t="s">
        <v>137</v>
      </c>
    </row>
    <row r="27" spans="1:11" ht="12.75">
      <c r="A27" s="135">
        <v>11</v>
      </c>
      <c r="B27" s="22">
        <f>A27*C$4*ABS(ROUND(COS(A27)*10,0))</f>
        <v>0</v>
      </c>
      <c r="C27" s="11">
        <f>C$4*ROUND(ABS(SIN(A27+5)-1)*1000,0)</f>
        <v>579.6</v>
      </c>
      <c r="D27" s="137">
        <f aca="true" t="shared" si="0" ref="D27:D58">C27+B27*(C$5*(1+C$3*SIN(A27)))</f>
        <v>579.6</v>
      </c>
      <c r="E27" s="158">
        <f aca="true" t="shared" si="1" ref="E27:E58">IF(B27&gt;0,D27/B27,10000)</f>
        <v>10000</v>
      </c>
      <c r="F27" s="129" t="str">
        <f aca="true" t="shared" si="2" ref="F27:F58">IF(E27=10000,G$1,IF(D27=G27,H$1,I$1))</f>
        <v>R</v>
      </c>
      <c r="G27" s="139">
        <f aca="true" t="shared" si="3" ref="G27:G90">B27*C$9</f>
        <v>0</v>
      </c>
      <c r="H27" s="140">
        <f aca="true" t="shared" si="4" ref="H27:H58">D27-G27</f>
        <v>579.6</v>
      </c>
      <c r="I27" s="136"/>
      <c r="J27" s="157">
        <f>D$18</f>
        <v>0.2942015690829345</v>
      </c>
      <c r="K27" s="157">
        <f>D$19</f>
        <v>0.3702462691905807</v>
      </c>
    </row>
    <row r="28" spans="1:11" ht="12.75">
      <c r="A28" s="135">
        <v>33</v>
      </c>
      <c r="B28" s="22">
        <f aca="true" t="shared" si="5" ref="B28:B91">A28*C$4*ABS(ROUND(COS(A28)*10,0))</f>
        <v>0</v>
      </c>
      <c r="C28" s="11">
        <f aca="true" t="shared" si="6" ref="C28:C91">C$4*ROUND(ABS(SIN(A28+5)-1)*1000,0)</f>
        <v>316.8</v>
      </c>
      <c r="D28" s="137">
        <f t="shared" si="0"/>
        <v>316.8</v>
      </c>
      <c r="E28" s="158">
        <f t="shared" si="1"/>
        <v>10000</v>
      </c>
      <c r="F28" s="129" t="str">
        <f t="shared" si="2"/>
        <v>R</v>
      </c>
      <c r="G28" s="139">
        <f t="shared" si="3"/>
        <v>0</v>
      </c>
      <c r="H28" s="140">
        <f t="shared" si="4"/>
        <v>316.8</v>
      </c>
      <c r="I28" s="136"/>
      <c r="J28" s="157">
        <f aca="true" t="shared" si="7" ref="J28:J91">D$18</f>
        <v>0.2942015690829345</v>
      </c>
      <c r="K28" s="157">
        <f aca="true" t="shared" si="8" ref="K28:K91">D$19</f>
        <v>0.3702462691905807</v>
      </c>
    </row>
    <row r="29" spans="1:11" ht="12.75">
      <c r="A29" s="135">
        <v>55</v>
      </c>
      <c r="B29" s="22">
        <f t="shared" si="5"/>
        <v>0</v>
      </c>
      <c r="C29" s="11">
        <f t="shared" si="6"/>
        <v>587.25</v>
      </c>
      <c r="D29" s="137">
        <f t="shared" si="0"/>
        <v>587.25</v>
      </c>
      <c r="E29" s="158">
        <f t="shared" si="1"/>
        <v>10000</v>
      </c>
      <c r="F29" s="129" t="str">
        <f t="shared" si="2"/>
        <v>R</v>
      </c>
      <c r="G29" s="139">
        <f t="shared" si="3"/>
        <v>0</v>
      </c>
      <c r="H29" s="140">
        <f t="shared" si="4"/>
        <v>587.25</v>
      </c>
      <c r="I29" s="136"/>
      <c r="J29" s="157">
        <f t="shared" si="7"/>
        <v>0.2942015690829345</v>
      </c>
      <c r="K29" s="157">
        <f t="shared" si="8"/>
        <v>0.3702462691905807</v>
      </c>
    </row>
    <row r="30" spans="1:11" ht="12.75">
      <c r="A30" s="135">
        <v>77</v>
      </c>
      <c r="B30" s="22">
        <f t="shared" si="5"/>
        <v>0</v>
      </c>
      <c r="C30" s="11">
        <f t="shared" si="6"/>
        <v>309.15000000000003</v>
      </c>
      <c r="D30" s="137">
        <f t="shared" si="0"/>
        <v>309.15000000000003</v>
      </c>
      <c r="E30" s="158">
        <f t="shared" si="1"/>
        <v>10000</v>
      </c>
      <c r="F30" s="129" t="str">
        <f t="shared" si="2"/>
        <v>R</v>
      </c>
      <c r="G30" s="139">
        <f t="shared" si="3"/>
        <v>0</v>
      </c>
      <c r="H30" s="140">
        <f t="shared" si="4"/>
        <v>309.15000000000003</v>
      </c>
      <c r="I30" s="136"/>
      <c r="J30" s="157">
        <f t="shared" si="7"/>
        <v>0.2942015690829345</v>
      </c>
      <c r="K30" s="157">
        <f t="shared" si="8"/>
        <v>0.3702462691905807</v>
      </c>
    </row>
    <row r="31" spans="1:11" ht="12.75">
      <c r="A31" s="135">
        <v>99</v>
      </c>
      <c r="B31" s="22">
        <f t="shared" si="5"/>
        <v>0</v>
      </c>
      <c r="C31" s="11">
        <f t="shared" si="6"/>
        <v>594.9</v>
      </c>
      <c r="D31" s="137">
        <f t="shared" si="0"/>
        <v>594.9</v>
      </c>
      <c r="E31" s="158">
        <f t="shared" si="1"/>
        <v>10000</v>
      </c>
      <c r="F31" s="129" t="str">
        <f t="shared" si="2"/>
        <v>R</v>
      </c>
      <c r="G31" s="139">
        <f t="shared" si="3"/>
        <v>0</v>
      </c>
      <c r="H31" s="140">
        <f t="shared" si="4"/>
        <v>594.9</v>
      </c>
      <c r="I31" s="136"/>
      <c r="J31" s="157">
        <f t="shared" si="7"/>
        <v>0.2942015690829345</v>
      </c>
      <c r="K31" s="157">
        <f t="shared" si="8"/>
        <v>0.3702462691905807</v>
      </c>
    </row>
    <row r="32" spans="1:11" ht="12.75">
      <c r="A32" s="135">
        <v>14</v>
      </c>
      <c r="B32" s="22">
        <v>0</v>
      </c>
      <c r="C32" s="11">
        <f t="shared" si="6"/>
        <v>382.5</v>
      </c>
      <c r="D32" s="137">
        <f t="shared" si="0"/>
        <v>382.5</v>
      </c>
      <c r="E32" s="158">
        <f t="shared" si="1"/>
        <v>10000</v>
      </c>
      <c r="F32" s="129" t="str">
        <f t="shared" si="2"/>
        <v>R</v>
      </c>
      <c r="G32" s="139">
        <f t="shared" si="3"/>
        <v>0</v>
      </c>
      <c r="H32" s="140">
        <f t="shared" si="4"/>
        <v>382.5</v>
      </c>
      <c r="I32" s="136"/>
      <c r="J32" s="157">
        <f t="shared" si="7"/>
        <v>0.2942015690829345</v>
      </c>
      <c r="K32" s="157">
        <f t="shared" si="8"/>
        <v>0.3702462691905807</v>
      </c>
    </row>
    <row r="33" spans="1:11" ht="12.75">
      <c r="A33" s="135">
        <v>30</v>
      </c>
      <c r="B33" s="22">
        <v>0</v>
      </c>
      <c r="C33" s="11">
        <f t="shared" si="6"/>
        <v>642.6</v>
      </c>
      <c r="D33" s="137">
        <f t="shared" si="0"/>
        <v>642.6</v>
      </c>
      <c r="E33" s="158">
        <f t="shared" si="1"/>
        <v>10000</v>
      </c>
      <c r="F33" s="129" t="str">
        <f t="shared" si="2"/>
        <v>R</v>
      </c>
      <c r="G33" s="139">
        <f t="shared" si="3"/>
        <v>0</v>
      </c>
      <c r="H33" s="140">
        <f t="shared" si="4"/>
        <v>642.6</v>
      </c>
      <c r="I33" s="136"/>
      <c r="J33" s="157">
        <f t="shared" si="7"/>
        <v>0.2942015690829345</v>
      </c>
      <c r="K33" s="157">
        <f t="shared" si="8"/>
        <v>0.3702462691905807</v>
      </c>
    </row>
    <row r="34" spans="1:11" ht="12.75">
      <c r="A34" s="135">
        <v>13</v>
      </c>
      <c r="B34" s="22">
        <v>0</v>
      </c>
      <c r="C34" s="11">
        <f t="shared" si="6"/>
        <v>787.95</v>
      </c>
      <c r="D34" s="137">
        <f t="shared" si="0"/>
        <v>787.95</v>
      </c>
      <c r="E34" s="158">
        <f t="shared" si="1"/>
        <v>10000</v>
      </c>
      <c r="F34" s="129" t="str">
        <f t="shared" si="2"/>
        <v>R</v>
      </c>
      <c r="G34" s="139">
        <f t="shared" si="3"/>
        <v>0</v>
      </c>
      <c r="H34" s="140">
        <f t="shared" si="4"/>
        <v>787.95</v>
      </c>
      <c r="I34" s="136"/>
      <c r="J34" s="157">
        <f t="shared" si="7"/>
        <v>0.2942015690829345</v>
      </c>
      <c r="K34" s="157">
        <f t="shared" si="8"/>
        <v>0.3702462691905807</v>
      </c>
    </row>
    <row r="35" spans="1:11" ht="12.75">
      <c r="A35" s="135">
        <v>96</v>
      </c>
      <c r="B35" s="22">
        <v>0</v>
      </c>
      <c r="C35" s="11">
        <f t="shared" si="6"/>
        <v>246.6</v>
      </c>
      <c r="D35" s="137">
        <f t="shared" si="0"/>
        <v>246.6</v>
      </c>
      <c r="E35" s="158">
        <f t="shared" si="1"/>
        <v>10000</v>
      </c>
      <c r="F35" s="129" t="str">
        <f t="shared" si="2"/>
        <v>R</v>
      </c>
      <c r="G35" s="139">
        <f t="shared" si="3"/>
        <v>0</v>
      </c>
      <c r="H35" s="140">
        <f t="shared" si="4"/>
        <v>246.6</v>
      </c>
      <c r="I35" s="136"/>
      <c r="J35" s="157">
        <f t="shared" si="7"/>
        <v>0.2942015690829345</v>
      </c>
      <c r="K35" s="157">
        <f t="shared" si="8"/>
        <v>0.3702462691905807</v>
      </c>
    </row>
    <row r="36" spans="1:11" ht="12.75">
      <c r="A36" s="135">
        <v>37</v>
      </c>
      <c r="B36" s="22">
        <v>0</v>
      </c>
      <c r="C36" s="11">
        <f t="shared" si="6"/>
        <v>862.65</v>
      </c>
      <c r="D36" s="137">
        <f t="shared" si="0"/>
        <v>862.65</v>
      </c>
      <c r="E36" s="158">
        <f t="shared" si="1"/>
        <v>10000</v>
      </c>
      <c r="F36" s="129" t="str">
        <f t="shared" si="2"/>
        <v>R</v>
      </c>
      <c r="G36" s="139">
        <f t="shared" si="3"/>
        <v>0</v>
      </c>
      <c r="H36" s="140">
        <f t="shared" si="4"/>
        <v>862.65</v>
      </c>
      <c r="I36" s="136"/>
      <c r="J36" s="157">
        <f t="shared" si="7"/>
        <v>0.2942015690829345</v>
      </c>
      <c r="K36" s="157">
        <f t="shared" si="8"/>
        <v>0.3702462691905807</v>
      </c>
    </row>
    <row r="37" spans="1:11" ht="12.75">
      <c r="A37" s="135">
        <v>70</v>
      </c>
      <c r="B37" s="22">
        <v>0</v>
      </c>
      <c r="C37" s="11">
        <f t="shared" si="6"/>
        <v>624.6</v>
      </c>
      <c r="D37" s="137">
        <f t="shared" si="0"/>
        <v>624.6</v>
      </c>
      <c r="E37" s="158">
        <f t="shared" si="1"/>
        <v>10000</v>
      </c>
      <c r="F37" s="129" t="str">
        <f t="shared" si="2"/>
        <v>R</v>
      </c>
      <c r="G37" s="139">
        <f t="shared" si="3"/>
        <v>0</v>
      </c>
      <c r="H37" s="140">
        <f t="shared" si="4"/>
        <v>624.6</v>
      </c>
      <c r="I37" s="136"/>
      <c r="J37" s="157">
        <f t="shared" si="7"/>
        <v>0.2942015690829345</v>
      </c>
      <c r="K37" s="157">
        <f t="shared" si="8"/>
        <v>0.3702462691905807</v>
      </c>
    </row>
    <row r="38" spans="1:11" ht="12.75">
      <c r="A38" s="135">
        <v>73</v>
      </c>
      <c r="B38" s="22">
        <v>0</v>
      </c>
      <c r="C38" s="11">
        <f t="shared" si="6"/>
        <v>218.70000000000002</v>
      </c>
      <c r="D38" s="137">
        <f t="shared" si="0"/>
        <v>218.70000000000002</v>
      </c>
      <c r="E38" s="158">
        <f t="shared" si="1"/>
        <v>10000</v>
      </c>
      <c r="F38" s="129" t="str">
        <f t="shared" si="2"/>
        <v>R</v>
      </c>
      <c r="G38" s="139">
        <f t="shared" si="3"/>
        <v>0</v>
      </c>
      <c r="H38" s="140">
        <f t="shared" si="4"/>
        <v>218.70000000000002</v>
      </c>
      <c r="I38" s="136"/>
      <c r="J38" s="157">
        <f t="shared" si="7"/>
        <v>0.2942015690829345</v>
      </c>
      <c r="K38" s="157">
        <f t="shared" si="8"/>
        <v>0.3702462691905807</v>
      </c>
    </row>
    <row r="39" spans="1:11" ht="12.75">
      <c r="A39" s="135">
        <v>81</v>
      </c>
      <c r="B39" s="22">
        <v>0</v>
      </c>
      <c r="C39" s="11">
        <f t="shared" si="6"/>
        <v>865.35</v>
      </c>
      <c r="D39" s="137">
        <f t="shared" si="0"/>
        <v>865.35</v>
      </c>
      <c r="E39" s="158">
        <f t="shared" si="1"/>
        <v>10000</v>
      </c>
      <c r="F39" s="129" t="str">
        <f t="shared" si="2"/>
        <v>R</v>
      </c>
      <c r="G39" s="139">
        <f t="shared" si="3"/>
        <v>0</v>
      </c>
      <c r="H39" s="140">
        <f t="shared" si="4"/>
        <v>865.35</v>
      </c>
      <c r="I39" s="136"/>
      <c r="J39" s="157">
        <f t="shared" si="7"/>
        <v>0.2942015690829345</v>
      </c>
      <c r="K39" s="157">
        <f t="shared" si="8"/>
        <v>0.3702462691905807</v>
      </c>
    </row>
    <row r="40" spans="1:11" ht="12.75">
      <c r="A40" s="135">
        <v>98</v>
      </c>
      <c r="B40" s="22">
        <v>0</v>
      </c>
      <c r="C40" s="11">
        <f t="shared" si="6"/>
        <v>169.65</v>
      </c>
      <c r="D40" s="137">
        <f t="shared" si="0"/>
        <v>169.65</v>
      </c>
      <c r="E40" s="158">
        <f t="shared" si="1"/>
        <v>10000</v>
      </c>
      <c r="F40" s="129" t="str">
        <f t="shared" si="2"/>
        <v>R</v>
      </c>
      <c r="G40" s="139">
        <f t="shared" si="3"/>
        <v>0</v>
      </c>
      <c r="H40" s="140">
        <f t="shared" si="4"/>
        <v>169.65</v>
      </c>
      <c r="I40" s="136"/>
      <c r="J40" s="157">
        <f t="shared" si="7"/>
        <v>0.2942015690829345</v>
      </c>
      <c r="K40" s="157">
        <f t="shared" si="8"/>
        <v>0.3702462691905807</v>
      </c>
    </row>
    <row r="41" spans="1:11" s="69" customFormat="1" ht="12.75">
      <c r="A41" s="135">
        <v>1</v>
      </c>
      <c r="B41" s="22">
        <f t="shared" si="5"/>
        <v>2.25</v>
      </c>
      <c r="C41" s="11">
        <f t="shared" si="6"/>
        <v>575.5500000000001</v>
      </c>
      <c r="D41" s="137">
        <f t="shared" si="0"/>
        <v>575.9335985829491</v>
      </c>
      <c r="E41" s="138">
        <f t="shared" si="1"/>
        <v>255.97048825908848</v>
      </c>
      <c r="F41" s="129" t="str">
        <f t="shared" si="2"/>
        <v>RuN</v>
      </c>
      <c r="G41" s="139">
        <f t="shared" si="3"/>
        <v>0.7475038180577046</v>
      </c>
      <c r="H41" s="140">
        <f t="shared" si="4"/>
        <v>575.1860947648914</v>
      </c>
      <c r="I41" s="136"/>
      <c r="J41" s="157">
        <f t="shared" si="7"/>
        <v>0.2942015690829345</v>
      </c>
      <c r="K41" s="157">
        <f t="shared" si="8"/>
        <v>0.3702462691905807</v>
      </c>
    </row>
    <row r="42" spans="1:11" ht="12.75">
      <c r="A42" s="135">
        <v>2</v>
      </c>
      <c r="B42" s="22">
        <f t="shared" si="5"/>
        <v>3.6</v>
      </c>
      <c r="C42" s="11">
        <f t="shared" si="6"/>
        <v>154.35</v>
      </c>
      <c r="D42" s="137">
        <f t="shared" si="0"/>
        <v>154.97840824419436</v>
      </c>
      <c r="E42" s="138">
        <f t="shared" si="1"/>
        <v>43.04955784560954</v>
      </c>
      <c r="F42" s="129" t="str">
        <f t="shared" si="2"/>
        <v>RuN</v>
      </c>
      <c r="G42" s="139">
        <f t="shared" si="3"/>
        <v>1.1960061088923273</v>
      </c>
      <c r="H42" s="140">
        <f t="shared" si="4"/>
        <v>153.78240213530202</v>
      </c>
      <c r="I42" s="136"/>
      <c r="J42" s="157">
        <f t="shared" si="7"/>
        <v>0.2942015690829345</v>
      </c>
      <c r="K42" s="157">
        <f t="shared" si="8"/>
        <v>0.3702462691905807</v>
      </c>
    </row>
    <row r="43" spans="1:11" ht="12.75">
      <c r="A43" s="135">
        <v>8</v>
      </c>
      <c r="B43" s="22">
        <f t="shared" si="5"/>
        <v>3.6</v>
      </c>
      <c r="C43" s="11">
        <f t="shared" si="6"/>
        <v>261</v>
      </c>
      <c r="D43" s="137">
        <f t="shared" si="0"/>
        <v>261.64570138127067</v>
      </c>
      <c r="E43" s="138">
        <f t="shared" si="1"/>
        <v>72.6793614947974</v>
      </c>
      <c r="F43" s="129" t="str">
        <f t="shared" si="2"/>
        <v>RuN</v>
      </c>
      <c r="G43" s="139">
        <f t="shared" si="3"/>
        <v>1.1960061088923273</v>
      </c>
      <c r="H43" s="140">
        <f t="shared" si="4"/>
        <v>260.44969527237834</v>
      </c>
      <c r="I43" s="136"/>
      <c r="J43" s="157">
        <f t="shared" si="7"/>
        <v>0.2942015690829345</v>
      </c>
      <c r="K43" s="157">
        <f t="shared" si="8"/>
        <v>0.3702462691905807</v>
      </c>
    </row>
    <row r="44" spans="1:11" ht="12.75">
      <c r="A44" s="135">
        <v>5</v>
      </c>
      <c r="B44" s="22">
        <f t="shared" si="5"/>
        <v>6.75</v>
      </c>
      <c r="C44" s="11">
        <f t="shared" si="6"/>
        <v>694.8000000000001</v>
      </c>
      <c r="D44" s="137">
        <f t="shared" si="0"/>
        <v>695.2216356687615</v>
      </c>
      <c r="E44" s="138">
        <f t="shared" si="1"/>
        <v>102.99579787685354</v>
      </c>
      <c r="F44" s="129" t="str">
        <f t="shared" si="2"/>
        <v>RuN</v>
      </c>
      <c r="G44" s="139">
        <f t="shared" si="3"/>
        <v>2.2425114541731137</v>
      </c>
      <c r="H44" s="140">
        <f t="shared" si="4"/>
        <v>692.9791242145883</v>
      </c>
      <c r="I44" s="136"/>
      <c r="J44" s="157">
        <f t="shared" si="7"/>
        <v>0.2942015690829345</v>
      </c>
      <c r="K44" s="157">
        <f t="shared" si="8"/>
        <v>0.3702462691905807</v>
      </c>
    </row>
    <row r="45" spans="1:11" ht="12.75">
      <c r="A45" s="135">
        <v>4</v>
      </c>
      <c r="B45" s="22">
        <f t="shared" si="5"/>
        <v>12.6</v>
      </c>
      <c r="C45" s="11">
        <f t="shared" si="6"/>
        <v>264.6</v>
      </c>
      <c r="D45" s="137">
        <f t="shared" si="0"/>
        <v>265.5398573135472</v>
      </c>
      <c r="E45" s="138">
        <f t="shared" si="1"/>
        <v>21.074591850281525</v>
      </c>
      <c r="F45" s="129" t="str">
        <f t="shared" si="2"/>
        <v>RuN</v>
      </c>
      <c r="G45" s="139">
        <f t="shared" si="3"/>
        <v>4.186021381123146</v>
      </c>
      <c r="H45" s="140">
        <f t="shared" si="4"/>
        <v>261.35383593242403</v>
      </c>
      <c r="I45" s="136"/>
      <c r="J45" s="157">
        <f t="shared" si="7"/>
        <v>0.2942015690829345</v>
      </c>
      <c r="K45" s="157">
        <f t="shared" si="8"/>
        <v>0.3702462691905807</v>
      </c>
    </row>
    <row r="46" spans="1:11" s="1" customFormat="1" ht="12.75">
      <c r="A46" s="135">
        <v>3</v>
      </c>
      <c r="B46" s="22">
        <f t="shared" si="5"/>
        <v>13.5</v>
      </c>
      <c r="C46" s="11">
        <f t="shared" si="6"/>
        <v>4.95</v>
      </c>
      <c r="D46" s="137">
        <f t="shared" si="0"/>
        <v>6.6843072065284925</v>
      </c>
      <c r="E46" s="138">
        <f t="shared" si="1"/>
        <v>0.4951338671502587</v>
      </c>
      <c r="F46" s="129" t="str">
        <f t="shared" si="2"/>
        <v>RuN</v>
      </c>
      <c r="G46" s="139">
        <f t="shared" si="3"/>
        <v>4.485022908346227</v>
      </c>
      <c r="H46" s="140">
        <f t="shared" si="4"/>
        <v>2.199284298182265</v>
      </c>
      <c r="I46" s="136"/>
      <c r="J46" s="157">
        <f t="shared" si="7"/>
        <v>0.2942015690829345</v>
      </c>
      <c r="K46" s="157">
        <f t="shared" si="8"/>
        <v>0.3702462691905807</v>
      </c>
    </row>
    <row r="47" spans="1:11" s="152" customFormat="1" ht="12.75">
      <c r="A47" s="135">
        <v>36</v>
      </c>
      <c r="B47" s="22">
        <f t="shared" si="5"/>
        <v>16.2</v>
      </c>
      <c r="C47" s="11">
        <f t="shared" si="6"/>
        <v>521.5500000000001</v>
      </c>
      <c r="D47" s="137">
        <f t="shared" si="0"/>
        <v>522.5299909544534</v>
      </c>
      <c r="E47" s="138">
        <f t="shared" si="1"/>
        <v>32.254937713237865</v>
      </c>
      <c r="F47" s="129" t="str">
        <f t="shared" si="2"/>
        <v>RuN</v>
      </c>
      <c r="G47" s="139">
        <f t="shared" si="3"/>
        <v>5.3820274900154725</v>
      </c>
      <c r="H47" s="140">
        <f t="shared" si="4"/>
        <v>517.1479634644379</v>
      </c>
      <c r="I47" s="136"/>
      <c r="J47" s="157">
        <f t="shared" si="7"/>
        <v>0.2942015690829345</v>
      </c>
      <c r="K47" s="157">
        <f t="shared" si="8"/>
        <v>0.3702462691905807</v>
      </c>
    </row>
    <row r="48" spans="1:11" ht="12.75">
      <c r="A48" s="135">
        <v>17</v>
      </c>
      <c r="B48" s="22">
        <f t="shared" si="5"/>
        <v>22.950000000000003</v>
      </c>
      <c r="C48" s="11">
        <f t="shared" si="6"/>
        <v>454.05</v>
      </c>
      <c r="D48" s="137">
        <f t="shared" si="0"/>
        <v>455.48015565368183</v>
      </c>
      <c r="E48" s="138">
        <f t="shared" si="1"/>
        <v>19.84662987597742</v>
      </c>
      <c r="F48" s="129" t="str">
        <f t="shared" si="2"/>
        <v>RuN</v>
      </c>
      <c r="G48" s="139">
        <f t="shared" si="3"/>
        <v>7.624538944188587</v>
      </c>
      <c r="H48" s="140">
        <f t="shared" si="4"/>
        <v>447.85561670949323</v>
      </c>
      <c r="I48" s="136"/>
      <c r="J48" s="157">
        <f t="shared" si="7"/>
        <v>0.2942015690829345</v>
      </c>
      <c r="K48" s="157">
        <f t="shared" si="8"/>
        <v>0.3702462691905807</v>
      </c>
    </row>
    <row r="49" spans="1:11" ht="12.75">
      <c r="A49" s="135">
        <v>7</v>
      </c>
      <c r="B49" s="22">
        <f t="shared" si="5"/>
        <v>25.2</v>
      </c>
      <c r="C49" s="11">
        <f t="shared" si="6"/>
        <v>691.65</v>
      </c>
      <c r="D49" s="137">
        <f t="shared" si="0"/>
        <v>695.6673637372628</v>
      </c>
      <c r="E49" s="138">
        <f t="shared" si="1"/>
        <v>27.6058477673517</v>
      </c>
      <c r="F49" s="129" t="str">
        <f t="shared" si="2"/>
        <v>RuN</v>
      </c>
      <c r="G49" s="139">
        <f t="shared" si="3"/>
        <v>8.372042762246291</v>
      </c>
      <c r="H49" s="140">
        <f t="shared" si="4"/>
        <v>687.2953209750165</v>
      </c>
      <c r="I49" s="136"/>
      <c r="J49" s="157">
        <f t="shared" si="7"/>
        <v>0.2942015690829345</v>
      </c>
      <c r="K49" s="157">
        <f t="shared" si="8"/>
        <v>0.3702462691905807</v>
      </c>
    </row>
    <row r="50" spans="1:11" ht="12.75">
      <c r="A50" s="135">
        <v>58</v>
      </c>
      <c r="B50" s="22">
        <f t="shared" si="5"/>
        <v>26.1</v>
      </c>
      <c r="C50" s="11">
        <f t="shared" si="6"/>
        <v>374.85</v>
      </c>
      <c r="D50" s="137">
        <f t="shared" si="0"/>
        <v>379.5368385669004</v>
      </c>
      <c r="E50" s="138">
        <f t="shared" si="1"/>
        <v>14.541641324402315</v>
      </c>
      <c r="F50" s="129" t="str">
        <f t="shared" si="2"/>
        <v>RuN</v>
      </c>
      <c r="G50" s="139">
        <f t="shared" si="3"/>
        <v>8.671044289469373</v>
      </c>
      <c r="H50" s="140">
        <f t="shared" si="4"/>
        <v>370.86579427743106</v>
      </c>
      <c r="I50" s="136"/>
      <c r="J50" s="157">
        <f t="shared" si="7"/>
        <v>0.2942015690829345</v>
      </c>
      <c r="K50" s="157">
        <f t="shared" si="8"/>
        <v>0.3702462691905807</v>
      </c>
    </row>
    <row r="51" spans="1:11" ht="12.75">
      <c r="A51" s="135">
        <v>6</v>
      </c>
      <c r="B51" s="22">
        <f t="shared" si="5"/>
        <v>27</v>
      </c>
      <c r="C51" s="11">
        <f t="shared" si="6"/>
        <v>900</v>
      </c>
      <c r="D51" s="137">
        <f t="shared" si="0"/>
        <v>902.7873468929178</v>
      </c>
      <c r="E51" s="138">
        <f t="shared" si="1"/>
        <v>33.4365684034414</v>
      </c>
      <c r="F51" s="129" t="str">
        <f t="shared" si="2"/>
        <v>RuN</v>
      </c>
      <c r="G51" s="139">
        <f t="shared" si="3"/>
        <v>8.970045816692455</v>
      </c>
      <c r="H51" s="140">
        <f t="shared" si="4"/>
        <v>893.8173010762252</v>
      </c>
      <c r="I51" s="136"/>
      <c r="J51" s="157">
        <f t="shared" si="7"/>
        <v>0.2942015690829345</v>
      </c>
      <c r="K51" s="157">
        <f t="shared" si="8"/>
        <v>0.3702462691905807</v>
      </c>
    </row>
    <row r="52" spans="1:11" ht="12.75">
      <c r="A52" s="135">
        <v>10</v>
      </c>
      <c r="B52" s="22">
        <f t="shared" si="5"/>
        <v>36</v>
      </c>
      <c r="C52" s="11">
        <f t="shared" si="6"/>
        <v>157.5</v>
      </c>
      <c r="D52" s="137">
        <f t="shared" si="0"/>
        <v>160.64491440047897</v>
      </c>
      <c r="E52" s="138">
        <f t="shared" si="1"/>
        <v>4.462358733346638</v>
      </c>
      <c r="F52" s="129" t="str">
        <f t="shared" si="2"/>
        <v>RuN</v>
      </c>
      <c r="G52" s="139">
        <f t="shared" si="3"/>
        <v>11.960061088923274</v>
      </c>
      <c r="H52" s="140">
        <f t="shared" si="4"/>
        <v>148.68485331155568</v>
      </c>
      <c r="I52" s="136"/>
      <c r="J52" s="157">
        <f t="shared" si="7"/>
        <v>0.2942015690829345</v>
      </c>
      <c r="K52" s="157">
        <f t="shared" si="8"/>
        <v>0.3702462691905807</v>
      </c>
    </row>
    <row r="53" spans="1:11" ht="12.75">
      <c r="A53" s="135">
        <v>20</v>
      </c>
      <c r="B53" s="22">
        <f t="shared" si="5"/>
        <v>36</v>
      </c>
      <c r="C53" s="11">
        <f t="shared" si="6"/>
        <v>509.40000000000003</v>
      </c>
      <c r="D53" s="137">
        <f t="shared" si="0"/>
        <v>515.6919617415717</v>
      </c>
      <c r="E53" s="138">
        <f t="shared" si="1"/>
        <v>14.32477671504366</v>
      </c>
      <c r="F53" s="129" t="str">
        <f t="shared" si="2"/>
        <v>RuN</v>
      </c>
      <c r="G53" s="139">
        <f t="shared" si="3"/>
        <v>11.960061088923274</v>
      </c>
      <c r="H53" s="140">
        <f t="shared" si="4"/>
        <v>503.73190065264845</v>
      </c>
      <c r="I53" s="136"/>
      <c r="J53" s="157">
        <f t="shared" si="7"/>
        <v>0.2942015690829345</v>
      </c>
      <c r="K53" s="157">
        <f t="shared" si="8"/>
        <v>0.3702462691905807</v>
      </c>
    </row>
    <row r="54" spans="1:11" ht="12.75">
      <c r="A54" s="135">
        <v>80</v>
      </c>
      <c r="B54" s="22">
        <f t="shared" si="5"/>
        <v>36</v>
      </c>
      <c r="C54" s="11">
        <f t="shared" si="6"/>
        <v>529.2</v>
      </c>
      <c r="D54" s="137">
        <f t="shared" si="0"/>
        <v>531.3732005075256</v>
      </c>
      <c r="E54" s="138">
        <f t="shared" si="1"/>
        <v>14.760366680764598</v>
      </c>
      <c r="F54" s="129" t="str">
        <f t="shared" si="2"/>
        <v>RuN</v>
      </c>
      <c r="G54" s="139">
        <f t="shared" si="3"/>
        <v>11.960061088923274</v>
      </c>
      <c r="H54" s="140">
        <f t="shared" si="4"/>
        <v>519.4131394186023</v>
      </c>
      <c r="I54" s="136"/>
      <c r="J54" s="157">
        <f t="shared" si="7"/>
        <v>0.2942015690829345</v>
      </c>
      <c r="K54" s="157">
        <f t="shared" si="8"/>
        <v>0.3702462691905807</v>
      </c>
    </row>
    <row r="55" spans="1:11" s="1" customFormat="1" ht="12.75">
      <c r="A55" s="135">
        <v>9</v>
      </c>
      <c r="B55" s="22">
        <f t="shared" si="5"/>
        <v>36.449999999999996</v>
      </c>
      <c r="C55" s="11">
        <f t="shared" si="6"/>
        <v>4.05</v>
      </c>
      <c r="D55" s="137">
        <f t="shared" si="0"/>
        <v>9.325303127223721</v>
      </c>
      <c r="E55" s="138">
        <f t="shared" si="1"/>
        <v>0.25583822022561653</v>
      </c>
      <c r="F55" s="129" t="str">
        <f t="shared" si="2"/>
        <v>RuN</v>
      </c>
      <c r="G55" s="139">
        <f t="shared" si="3"/>
        <v>12.109561852534812</v>
      </c>
      <c r="H55" s="140">
        <f t="shared" si="4"/>
        <v>-2.7842587253110906</v>
      </c>
      <c r="I55" s="136" t="s">
        <v>332</v>
      </c>
      <c r="J55" s="157">
        <f t="shared" si="7"/>
        <v>0.2942015690829345</v>
      </c>
      <c r="K55" s="157">
        <f t="shared" si="8"/>
        <v>0.3702462691905807</v>
      </c>
    </row>
    <row r="56" spans="1:11" ht="12.75">
      <c r="A56" s="135">
        <v>27</v>
      </c>
      <c r="B56" s="22">
        <f t="shared" si="5"/>
        <v>36.45</v>
      </c>
      <c r="C56" s="11">
        <f t="shared" si="6"/>
        <v>202.05</v>
      </c>
      <c r="D56" s="137">
        <f t="shared" si="0"/>
        <v>208.51559415542067</v>
      </c>
      <c r="E56" s="138">
        <f t="shared" si="1"/>
        <v>5.72059243224748</v>
      </c>
      <c r="F56" s="129" t="str">
        <f t="shared" si="2"/>
        <v>RuN</v>
      </c>
      <c r="G56" s="139">
        <f t="shared" si="3"/>
        <v>12.109561852534815</v>
      </c>
      <c r="H56" s="140">
        <f t="shared" si="4"/>
        <v>196.40603230288585</v>
      </c>
      <c r="I56" s="136"/>
      <c r="J56" s="157">
        <f t="shared" si="7"/>
        <v>0.2942015690829345</v>
      </c>
      <c r="K56" s="157">
        <f t="shared" si="8"/>
        <v>0.3702462691905807</v>
      </c>
    </row>
    <row r="57" spans="1:11" ht="12.75">
      <c r="A57" s="135">
        <v>12</v>
      </c>
      <c r="B57" s="22">
        <f t="shared" si="5"/>
        <v>43.2</v>
      </c>
      <c r="C57" s="11">
        <f t="shared" si="6"/>
        <v>882.45</v>
      </c>
      <c r="D57" s="137">
        <f t="shared" si="0"/>
        <v>886.2432029965429</v>
      </c>
      <c r="E57" s="138">
        <f t="shared" si="1"/>
        <v>20.514888958253305</v>
      </c>
      <c r="F57" s="129" t="str">
        <f t="shared" si="2"/>
        <v>RuN</v>
      </c>
      <c r="G57" s="139">
        <f t="shared" si="3"/>
        <v>14.35207330670793</v>
      </c>
      <c r="H57" s="140">
        <f t="shared" si="4"/>
        <v>871.891129689835</v>
      </c>
      <c r="I57" s="136"/>
      <c r="J57" s="157">
        <f t="shared" si="7"/>
        <v>0.2942015690829345</v>
      </c>
      <c r="K57" s="157">
        <f t="shared" si="8"/>
        <v>0.3702462691905807</v>
      </c>
    </row>
    <row r="58" spans="1:11" ht="12.75">
      <c r="A58" s="135">
        <v>24</v>
      </c>
      <c r="B58" s="22">
        <f t="shared" si="5"/>
        <v>43.2</v>
      </c>
      <c r="C58" s="11">
        <f t="shared" si="6"/>
        <v>748.8000000000001</v>
      </c>
      <c r="D58" s="137">
        <f t="shared" si="0"/>
        <v>751.6367408856789</v>
      </c>
      <c r="E58" s="138">
        <f t="shared" si="1"/>
        <v>17.398998631612937</v>
      </c>
      <c r="F58" s="129" t="str">
        <f t="shared" si="2"/>
        <v>RuN</v>
      </c>
      <c r="G58" s="139">
        <f t="shared" si="3"/>
        <v>14.35207330670793</v>
      </c>
      <c r="H58" s="140">
        <f t="shared" si="4"/>
        <v>737.284667578971</v>
      </c>
      <c r="I58" s="136"/>
      <c r="J58" s="157">
        <f t="shared" si="7"/>
        <v>0.2942015690829345</v>
      </c>
      <c r="K58" s="157">
        <f t="shared" si="8"/>
        <v>0.3702462691905807</v>
      </c>
    </row>
    <row r="59" spans="1:11" ht="12.75">
      <c r="A59" s="135">
        <v>52</v>
      </c>
      <c r="B59" s="22">
        <f t="shared" si="5"/>
        <v>46.800000000000004</v>
      </c>
      <c r="C59" s="11">
        <f t="shared" si="6"/>
        <v>253.8</v>
      </c>
      <c r="D59" s="137">
        <f aca="true" t="shared" si="9" ref="D59:D90">C59+B59*(C$5*(1+C$3*SIN(A59)))</f>
        <v>262.1864502784497</v>
      </c>
      <c r="E59" s="138">
        <f aca="true" t="shared" si="10" ref="E59:E90">IF(B59&gt;0,D59/B59,10000)</f>
        <v>5.602274578599352</v>
      </c>
      <c r="F59" s="129" t="str">
        <f aca="true" t="shared" si="11" ref="F59:F90">IF(E59=10000,G$1,IF(D59=G59,H$1,I$1))</f>
        <v>RuN</v>
      </c>
      <c r="G59" s="139">
        <f t="shared" si="3"/>
        <v>15.548079415600256</v>
      </c>
      <c r="H59" s="140">
        <f aca="true" t="shared" si="12" ref="H59:H90">D59-G59</f>
        <v>246.63837086284943</v>
      </c>
      <c r="I59" s="136"/>
      <c r="J59" s="157">
        <f t="shared" si="7"/>
        <v>0.2942015690829345</v>
      </c>
      <c r="K59" s="157">
        <f t="shared" si="8"/>
        <v>0.3702462691905807</v>
      </c>
    </row>
    <row r="60" spans="1:11" ht="12.75">
      <c r="A60" s="135">
        <v>21</v>
      </c>
      <c r="B60" s="22">
        <f t="shared" si="5"/>
        <v>47.25000000000001</v>
      </c>
      <c r="C60" s="11">
        <f t="shared" si="6"/>
        <v>106.65</v>
      </c>
      <c r="D60" s="137">
        <f t="shared" si="9"/>
        <v>114.69191873524973</v>
      </c>
      <c r="E60" s="138">
        <f t="shared" si="10"/>
        <v>2.4273421954550205</v>
      </c>
      <c r="F60" s="129" t="str">
        <f t="shared" si="11"/>
        <v>RuN</v>
      </c>
      <c r="G60" s="139">
        <f t="shared" si="3"/>
        <v>15.697580179211798</v>
      </c>
      <c r="H60" s="140">
        <f t="shared" si="12"/>
        <v>98.99433855603793</v>
      </c>
      <c r="I60" s="136"/>
      <c r="J60" s="157">
        <f t="shared" si="7"/>
        <v>0.2942015690829345</v>
      </c>
      <c r="K60" s="157">
        <f t="shared" si="8"/>
        <v>0.3702462691905807</v>
      </c>
    </row>
    <row r="61" spans="1:11" ht="12.75">
      <c r="A61" s="135">
        <v>23</v>
      </c>
      <c r="B61" s="22">
        <f t="shared" si="5"/>
        <v>51.75</v>
      </c>
      <c r="C61" s="11">
        <f t="shared" si="6"/>
        <v>328.05</v>
      </c>
      <c r="D61" s="137">
        <f t="shared" si="9"/>
        <v>331.6324856450361</v>
      </c>
      <c r="E61" s="138">
        <f t="shared" si="10"/>
        <v>6.408357210532099</v>
      </c>
      <c r="F61" s="129" t="str">
        <f t="shared" si="11"/>
        <v>RuN</v>
      </c>
      <c r="G61" s="139">
        <f t="shared" si="3"/>
        <v>17.192587815327204</v>
      </c>
      <c r="H61" s="140">
        <f t="shared" si="12"/>
        <v>314.4398978297089</v>
      </c>
      <c r="I61" s="136"/>
      <c r="J61" s="157">
        <f t="shared" si="7"/>
        <v>0.2942015690829345</v>
      </c>
      <c r="K61" s="157">
        <f t="shared" si="8"/>
        <v>0.3702462691905807</v>
      </c>
    </row>
    <row r="62" spans="1:11" ht="12.75">
      <c r="A62" s="135">
        <v>39</v>
      </c>
      <c r="B62" s="22">
        <f t="shared" si="5"/>
        <v>52.650000000000006</v>
      </c>
      <c r="C62" s="11">
        <f t="shared" si="6"/>
        <v>441.90000000000003</v>
      </c>
      <c r="D62" s="137">
        <f t="shared" si="9"/>
        <v>451.2626296252715</v>
      </c>
      <c r="E62" s="138">
        <f t="shared" si="10"/>
        <v>8.570990116339438</v>
      </c>
      <c r="F62" s="129" t="str">
        <f t="shared" si="11"/>
        <v>RuN</v>
      </c>
      <c r="G62" s="139">
        <f t="shared" si="3"/>
        <v>17.491589342550288</v>
      </c>
      <c r="H62" s="140">
        <f t="shared" si="12"/>
        <v>433.7710402827212</v>
      </c>
      <c r="I62" s="136"/>
      <c r="J62" s="157">
        <f t="shared" si="7"/>
        <v>0.2942015690829345</v>
      </c>
      <c r="K62" s="157">
        <f t="shared" si="8"/>
        <v>0.3702462691905807</v>
      </c>
    </row>
    <row r="63" spans="1:11" ht="12.75">
      <c r="A63" s="135">
        <v>15</v>
      </c>
      <c r="B63" s="22">
        <f t="shared" si="5"/>
        <v>54</v>
      </c>
      <c r="C63" s="11">
        <f t="shared" si="6"/>
        <v>39.15</v>
      </c>
      <c r="D63" s="137">
        <f t="shared" si="9"/>
        <v>47.73693260210906</v>
      </c>
      <c r="E63" s="138">
        <f t="shared" si="10"/>
        <v>0.884017270409427</v>
      </c>
      <c r="F63" s="129" t="str">
        <f t="shared" si="11"/>
        <v>RuN</v>
      </c>
      <c r="G63" s="139">
        <f t="shared" si="3"/>
        <v>17.94009163338491</v>
      </c>
      <c r="H63" s="140">
        <f t="shared" si="12"/>
        <v>29.796840968724148</v>
      </c>
      <c r="I63" s="136"/>
      <c r="J63" s="157">
        <f t="shared" si="7"/>
        <v>0.2942015690829345</v>
      </c>
      <c r="K63" s="157">
        <f t="shared" si="8"/>
        <v>0.3702462691905807</v>
      </c>
    </row>
    <row r="64" spans="1:11" ht="12.75">
      <c r="A64" s="135">
        <v>18</v>
      </c>
      <c r="B64" s="22">
        <f t="shared" si="5"/>
        <v>56.699999999999996</v>
      </c>
      <c r="C64" s="11">
        <f t="shared" si="6"/>
        <v>830.7</v>
      </c>
      <c r="D64" s="137">
        <f t="shared" si="9"/>
        <v>834.9491413864828</v>
      </c>
      <c r="E64" s="138">
        <f t="shared" si="10"/>
        <v>14.725734415987352</v>
      </c>
      <c r="F64" s="129" t="str">
        <f t="shared" si="11"/>
        <v>RuN</v>
      </c>
      <c r="G64" s="139">
        <f t="shared" si="3"/>
        <v>18.837096215054153</v>
      </c>
      <c r="H64" s="140">
        <f t="shared" si="12"/>
        <v>816.1120451714286</v>
      </c>
      <c r="I64" s="136"/>
      <c r="J64" s="157">
        <f t="shared" si="7"/>
        <v>0.2942015690829345</v>
      </c>
      <c r="K64" s="157">
        <f t="shared" si="8"/>
        <v>0.3702462691905807</v>
      </c>
    </row>
    <row r="65" spans="1:11" s="69" customFormat="1" ht="12.75">
      <c r="A65" s="135">
        <v>49</v>
      </c>
      <c r="B65" s="22">
        <f t="shared" si="5"/>
        <v>66.15</v>
      </c>
      <c r="C65" s="11">
        <f t="shared" si="6"/>
        <v>701.5500000000001</v>
      </c>
      <c r="D65" s="137">
        <f t="shared" si="9"/>
        <v>705.7025557211978</v>
      </c>
      <c r="E65" s="138">
        <f t="shared" si="10"/>
        <v>10.668217017705182</v>
      </c>
      <c r="F65" s="129" t="str">
        <f t="shared" si="11"/>
        <v>RuN</v>
      </c>
      <c r="G65" s="139">
        <f t="shared" si="3"/>
        <v>21.976612250896515</v>
      </c>
      <c r="H65" s="140">
        <f t="shared" si="12"/>
        <v>683.7259434703012</v>
      </c>
      <c r="I65" s="136"/>
      <c r="J65" s="157">
        <f t="shared" si="7"/>
        <v>0.2942015690829345</v>
      </c>
      <c r="K65" s="157">
        <f t="shared" si="8"/>
        <v>0.3702462691905807</v>
      </c>
    </row>
    <row r="66" spans="1:11" ht="12.75">
      <c r="A66" s="135">
        <v>74</v>
      </c>
      <c r="B66" s="22">
        <f t="shared" si="5"/>
        <v>66.60000000000001</v>
      </c>
      <c r="C66" s="11">
        <f t="shared" si="6"/>
        <v>649.8000000000001</v>
      </c>
      <c r="D66" s="137">
        <f t="shared" si="9"/>
        <v>653.8553555431689</v>
      </c>
      <c r="E66" s="138">
        <f t="shared" si="10"/>
        <v>9.817647981128662</v>
      </c>
      <c r="F66" s="129" t="str">
        <f t="shared" si="11"/>
        <v>RuN</v>
      </c>
      <c r="G66" s="139">
        <f t="shared" si="3"/>
        <v>22.126113014508057</v>
      </c>
      <c r="H66" s="140">
        <f t="shared" si="12"/>
        <v>631.7292425286608</v>
      </c>
      <c r="I66" s="136"/>
      <c r="J66" s="157">
        <f t="shared" si="7"/>
        <v>0.2942015690829345</v>
      </c>
      <c r="K66" s="157">
        <f t="shared" si="8"/>
        <v>0.3702462691905807</v>
      </c>
    </row>
    <row r="67" spans="1:11" ht="12.75">
      <c r="A67" s="135">
        <v>26</v>
      </c>
      <c r="B67" s="22">
        <f t="shared" si="5"/>
        <v>70.2</v>
      </c>
      <c r="C67" s="11">
        <f t="shared" si="6"/>
        <v>631.8000000000001</v>
      </c>
      <c r="D67" s="137">
        <f t="shared" si="9"/>
        <v>643.4358961934201</v>
      </c>
      <c r="E67" s="138">
        <f t="shared" si="10"/>
        <v>9.165753507028777</v>
      </c>
      <c r="F67" s="129" t="str">
        <f t="shared" si="11"/>
        <v>RuN</v>
      </c>
      <c r="G67" s="139">
        <f t="shared" si="3"/>
        <v>23.322119123400384</v>
      </c>
      <c r="H67" s="140">
        <f t="shared" si="12"/>
        <v>620.1137770700198</v>
      </c>
      <c r="I67" s="136"/>
      <c r="J67" s="157">
        <f t="shared" si="7"/>
        <v>0.2942015690829345</v>
      </c>
      <c r="K67" s="157">
        <f t="shared" si="8"/>
        <v>0.3702462691905807</v>
      </c>
    </row>
    <row r="68" spans="1:11" ht="12.75">
      <c r="A68" s="135">
        <v>16</v>
      </c>
      <c r="B68" s="22">
        <f t="shared" si="5"/>
        <v>72</v>
      </c>
      <c r="C68" s="11">
        <f t="shared" si="6"/>
        <v>73.35000000000001</v>
      </c>
      <c r="D68" s="137">
        <f t="shared" si="9"/>
        <v>80.74625767200692</v>
      </c>
      <c r="E68" s="138">
        <f t="shared" si="10"/>
        <v>1.121475801000096</v>
      </c>
      <c r="F68" s="129" t="str">
        <f t="shared" si="11"/>
        <v>RuN</v>
      </c>
      <c r="G68" s="139">
        <f t="shared" si="3"/>
        <v>23.920122177846547</v>
      </c>
      <c r="H68" s="140">
        <f t="shared" si="12"/>
        <v>56.82613549416037</v>
      </c>
      <c r="I68" s="136"/>
      <c r="J68" s="157">
        <f t="shared" si="7"/>
        <v>0.2942015690829345</v>
      </c>
      <c r="K68" s="157">
        <f t="shared" si="8"/>
        <v>0.3702462691905807</v>
      </c>
    </row>
    <row r="69" spans="1:11" ht="12.75">
      <c r="A69" s="135">
        <v>83</v>
      </c>
      <c r="B69" s="22">
        <f t="shared" si="5"/>
        <v>74.7</v>
      </c>
      <c r="C69" s="11">
        <f t="shared" si="6"/>
        <v>434.25</v>
      </c>
      <c r="D69" s="137">
        <f t="shared" si="9"/>
        <v>447.554209514651</v>
      </c>
      <c r="E69" s="138">
        <f t="shared" si="10"/>
        <v>5.991354879714203</v>
      </c>
      <c r="F69" s="129" t="str">
        <f t="shared" si="11"/>
        <v>RuN</v>
      </c>
      <c r="G69" s="139">
        <f t="shared" si="3"/>
        <v>24.81712675951579</v>
      </c>
      <c r="H69" s="140">
        <f t="shared" si="12"/>
        <v>422.7370827551352</v>
      </c>
      <c r="I69" s="136"/>
      <c r="J69" s="157">
        <f t="shared" si="7"/>
        <v>0.2942015690829345</v>
      </c>
      <c r="K69" s="157">
        <f t="shared" si="8"/>
        <v>0.3702462691905807</v>
      </c>
    </row>
    <row r="70" spans="1:11" ht="12.75">
      <c r="A70" s="135">
        <v>42</v>
      </c>
      <c r="B70" s="22">
        <f t="shared" si="5"/>
        <v>75.60000000000001</v>
      </c>
      <c r="C70" s="11">
        <f t="shared" si="6"/>
        <v>394.2</v>
      </c>
      <c r="D70" s="137">
        <f t="shared" si="9"/>
        <v>399.1146582586547</v>
      </c>
      <c r="E70" s="138">
        <f t="shared" si="10"/>
        <v>5.279294421410776</v>
      </c>
      <c r="F70" s="129" t="str">
        <f t="shared" si="11"/>
        <v>RuN</v>
      </c>
      <c r="G70" s="139">
        <f t="shared" si="3"/>
        <v>25.116128286738878</v>
      </c>
      <c r="H70" s="140">
        <f t="shared" si="12"/>
        <v>373.9985299719158</v>
      </c>
      <c r="I70" s="136"/>
      <c r="J70" s="157">
        <f t="shared" si="7"/>
        <v>0.2942015690829345</v>
      </c>
      <c r="K70" s="157">
        <f t="shared" si="8"/>
        <v>0.3702462691905807</v>
      </c>
    </row>
    <row r="71" spans="1:11" ht="12.75">
      <c r="A71" s="135">
        <v>61</v>
      </c>
      <c r="B71" s="22">
        <f t="shared" si="5"/>
        <v>82.35</v>
      </c>
      <c r="C71" s="11">
        <f t="shared" si="6"/>
        <v>462.15000000000003</v>
      </c>
      <c r="D71" s="137">
        <f t="shared" si="9"/>
        <v>467.2584120983886</v>
      </c>
      <c r="E71" s="138">
        <f t="shared" si="10"/>
        <v>5.674054791722995</v>
      </c>
      <c r="F71" s="129" t="str">
        <f t="shared" si="11"/>
        <v>RuN</v>
      </c>
      <c r="G71" s="139">
        <f t="shared" si="3"/>
        <v>27.358639740911986</v>
      </c>
      <c r="H71" s="140">
        <f t="shared" si="12"/>
        <v>439.8997723574766</v>
      </c>
      <c r="I71" s="136"/>
      <c r="J71" s="157">
        <f t="shared" si="7"/>
        <v>0.2942015690829345</v>
      </c>
      <c r="K71" s="157">
        <f t="shared" si="8"/>
        <v>0.3702462691905807</v>
      </c>
    </row>
    <row r="72" spans="1:11" ht="12.75">
      <c r="A72" s="135">
        <v>46</v>
      </c>
      <c r="B72" s="22">
        <f t="shared" si="5"/>
        <v>82.8</v>
      </c>
      <c r="C72" s="11">
        <f t="shared" si="6"/>
        <v>148.5</v>
      </c>
      <c r="D72" s="137">
        <f t="shared" si="9"/>
        <v>162.9160845111193</v>
      </c>
      <c r="E72" s="138">
        <f t="shared" si="10"/>
        <v>1.9675855617284939</v>
      </c>
      <c r="F72" s="129" t="str">
        <f t="shared" si="11"/>
        <v>RuN</v>
      </c>
      <c r="G72" s="139">
        <f t="shared" si="3"/>
        <v>27.508140504523528</v>
      </c>
      <c r="H72" s="140">
        <f t="shared" si="12"/>
        <v>135.40794400659576</v>
      </c>
      <c r="I72" s="136"/>
      <c r="J72" s="157">
        <f t="shared" si="7"/>
        <v>0.2942015690829345</v>
      </c>
      <c r="K72" s="157">
        <f t="shared" si="8"/>
        <v>0.3702462691905807</v>
      </c>
    </row>
    <row r="73" spans="1:11" ht="12.75">
      <c r="A73" s="135">
        <v>19</v>
      </c>
      <c r="B73" s="22">
        <f t="shared" si="5"/>
        <v>85.5</v>
      </c>
      <c r="C73" s="11">
        <f t="shared" si="6"/>
        <v>857.7</v>
      </c>
      <c r="D73" s="137">
        <f t="shared" si="9"/>
        <v>868.728870085571</v>
      </c>
      <c r="E73" s="138">
        <f t="shared" si="10"/>
        <v>10.160571579948199</v>
      </c>
      <c r="F73" s="129" t="str">
        <f t="shared" si="11"/>
        <v>RuN</v>
      </c>
      <c r="G73" s="139">
        <f t="shared" si="3"/>
        <v>28.405145086192775</v>
      </c>
      <c r="H73" s="140">
        <f t="shared" si="12"/>
        <v>840.3237249993782</v>
      </c>
      <c r="I73" s="136"/>
      <c r="J73" s="157">
        <f t="shared" si="7"/>
        <v>0.2942015690829345</v>
      </c>
      <c r="K73" s="157">
        <f t="shared" si="8"/>
        <v>0.3702462691905807</v>
      </c>
    </row>
    <row r="74" spans="1:11" ht="12.75">
      <c r="A74" s="135">
        <v>29</v>
      </c>
      <c r="B74" s="22">
        <f t="shared" si="5"/>
        <v>91.35000000000001</v>
      </c>
      <c r="C74" s="11">
        <f t="shared" si="6"/>
        <v>211.95000000000002</v>
      </c>
      <c r="D74" s="137">
        <f t="shared" si="9"/>
        <v>219.27462268062874</v>
      </c>
      <c r="E74" s="138">
        <f t="shared" si="10"/>
        <v>2.4003790112821974</v>
      </c>
      <c r="F74" s="129" t="str">
        <f t="shared" si="11"/>
        <v>RuN</v>
      </c>
      <c r="G74" s="139">
        <f t="shared" si="3"/>
        <v>30.348655013142807</v>
      </c>
      <c r="H74" s="140">
        <f t="shared" si="12"/>
        <v>188.92596766748593</v>
      </c>
      <c r="I74" s="136"/>
      <c r="J74" s="157">
        <f t="shared" si="7"/>
        <v>0.2942015690829345</v>
      </c>
      <c r="K74" s="157">
        <f t="shared" si="8"/>
        <v>0.3702462691905807</v>
      </c>
    </row>
    <row r="75" spans="1:11" ht="12.75">
      <c r="A75" s="135">
        <v>71</v>
      </c>
      <c r="B75" s="22">
        <f t="shared" si="5"/>
        <v>95.85</v>
      </c>
      <c r="C75" s="11">
        <f t="shared" si="6"/>
        <v>195.3</v>
      </c>
      <c r="D75" s="137">
        <f t="shared" si="9"/>
        <v>212.2715153108659</v>
      </c>
      <c r="E75" s="138">
        <f t="shared" si="10"/>
        <v>2.214621964641272</v>
      </c>
      <c r="F75" s="129" t="str">
        <f t="shared" si="11"/>
        <v>RuN</v>
      </c>
      <c r="G75" s="139">
        <f t="shared" si="3"/>
        <v>31.843662649258214</v>
      </c>
      <c r="H75" s="140">
        <f t="shared" si="12"/>
        <v>180.4278526616077</v>
      </c>
      <c r="I75" s="136"/>
      <c r="J75" s="157">
        <f t="shared" si="7"/>
        <v>0.2942015690829345</v>
      </c>
      <c r="K75" s="157">
        <f t="shared" si="8"/>
        <v>0.3702462691905807</v>
      </c>
    </row>
    <row r="76" spans="1:11" s="1" customFormat="1" ht="12.75">
      <c r="A76" s="130">
        <v>22</v>
      </c>
      <c r="B76" s="22">
        <f t="shared" si="5"/>
        <v>99</v>
      </c>
      <c r="C76" s="11">
        <f t="shared" si="6"/>
        <v>19.8</v>
      </c>
      <c r="D76" s="132">
        <f t="shared" si="9"/>
        <v>31.627423222815</v>
      </c>
      <c r="E76" s="133">
        <f t="shared" si="10"/>
        <v>0.31946892144257577</v>
      </c>
      <c r="F76" s="126" t="str">
        <f t="shared" si="11"/>
        <v>N</v>
      </c>
      <c r="G76" s="139">
        <f>D76</f>
        <v>31.627423222815</v>
      </c>
      <c r="H76" s="119">
        <f t="shared" si="12"/>
        <v>0</v>
      </c>
      <c r="I76" s="131" t="s">
        <v>139</v>
      </c>
      <c r="J76" s="157">
        <f t="shared" si="7"/>
        <v>0.2942015690829345</v>
      </c>
      <c r="K76" s="157">
        <f t="shared" si="8"/>
        <v>0.3702462691905807</v>
      </c>
    </row>
    <row r="77" spans="1:11" ht="12.75">
      <c r="A77" s="135">
        <v>45</v>
      </c>
      <c r="B77" s="22">
        <f t="shared" si="5"/>
        <v>101.25</v>
      </c>
      <c r="C77" s="11">
        <f t="shared" si="6"/>
        <v>567.9</v>
      </c>
      <c r="D77" s="137">
        <f t="shared" si="9"/>
        <v>585.2192389115447</v>
      </c>
      <c r="E77" s="138">
        <f t="shared" si="10"/>
        <v>5.779943100360936</v>
      </c>
      <c r="F77" s="129" t="str">
        <f t="shared" si="11"/>
        <v>RuN</v>
      </c>
      <c r="G77" s="139">
        <f t="shared" si="3"/>
        <v>33.63767181259671</v>
      </c>
      <c r="H77" s="140">
        <f t="shared" si="12"/>
        <v>551.581567098948</v>
      </c>
      <c r="I77" s="136"/>
      <c r="J77" s="157">
        <f t="shared" si="7"/>
        <v>0.2942015690829345</v>
      </c>
      <c r="K77" s="157">
        <f t="shared" si="8"/>
        <v>0.3702462691905807</v>
      </c>
    </row>
    <row r="78" spans="1:11" ht="12.75">
      <c r="A78" s="135">
        <v>25</v>
      </c>
      <c r="B78" s="22">
        <f t="shared" si="5"/>
        <v>112.5</v>
      </c>
      <c r="C78" s="11">
        <f t="shared" si="6"/>
        <v>894.6</v>
      </c>
      <c r="D78" s="137">
        <f t="shared" si="9"/>
        <v>907.2066256868401</v>
      </c>
      <c r="E78" s="138">
        <f t="shared" si="10"/>
        <v>8.064058894994133</v>
      </c>
      <c r="F78" s="129" t="str">
        <f t="shared" si="11"/>
        <v>RuN</v>
      </c>
      <c r="G78" s="139">
        <f t="shared" si="3"/>
        <v>37.37519090288523</v>
      </c>
      <c r="H78" s="140">
        <f t="shared" si="12"/>
        <v>869.8314347839548</v>
      </c>
      <c r="I78" s="136"/>
      <c r="J78" s="157">
        <f t="shared" si="7"/>
        <v>0.2942015690829345</v>
      </c>
      <c r="K78" s="157">
        <f t="shared" si="8"/>
        <v>0.3702462691905807</v>
      </c>
    </row>
    <row r="79" spans="1:11" ht="12.75">
      <c r="A79" s="135">
        <v>32</v>
      </c>
      <c r="B79" s="22">
        <f t="shared" si="5"/>
        <v>115.2</v>
      </c>
      <c r="C79" s="11">
        <f t="shared" si="6"/>
        <v>739.8000000000001</v>
      </c>
      <c r="D79" s="137">
        <f t="shared" si="9"/>
        <v>757.4354612207426</v>
      </c>
      <c r="E79" s="138">
        <f t="shared" si="10"/>
        <v>6.574960600874501</v>
      </c>
      <c r="F79" s="129" t="str">
        <f t="shared" si="11"/>
        <v>RuN</v>
      </c>
      <c r="G79" s="139">
        <f t="shared" si="3"/>
        <v>38.27219548455447</v>
      </c>
      <c r="H79" s="140">
        <f t="shared" si="12"/>
        <v>719.1632657361881</v>
      </c>
      <c r="I79" s="136"/>
      <c r="J79" s="157">
        <f t="shared" si="7"/>
        <v>0.2942015690829345</v>
      </c>
      <c r="K79" s="157">
        <f t="shared" si="8"/>
        <v>0.3702462691905807</v>
      </c>
    </row>
    <row r="80" spans="1:11" s="1" customFormat="1" ht="12.75">
      <c r="A80" s="135">
        <v>64</v>
      </c>
      <c r="B80" s="22">
        <f t="shared" si="5"/>
        <v>115.2</v>
      </c>
      <c r="C80" s="11">
        <v>0</v>
      </c>
      <c r="D80" s="137">
        <f t="shared" si="9"/>
        <v>20.18321997601622</v>
      </c>
      <c r="E80" s="138">
        <f t="shared" si="10"/>
        <v>0.17520156229180744</v>
      </c>
      <c r="F80" s="129" t="str">
        <f t="shared" si="11"/>
        <v>RuN</v>
      </c>
      <c r="G80" s="139">
        <f t="shared" si="3"/>
        <v>38.27219548455447</v>
      </c>
      <c r="H80" s="140">
        <f t="shared" si="12"/>
        <v>-18.088975508538255</v>
      </c>
      <c r="I80" s="136" t="s">
        <v>332</v>
      </c>
      <c r="J80" s="157">
        <f t="shared" si="7"/>
        <v>0.2942015690829345</v>
      </c>
      <c r="K80" s="157">
        <f t="shared" si="8"/>
        <v>0.3702462691905807</v>
      </c>
    </row>
    <row r="81" spans="1:11" ht="12.75">
      <c r="A81" s="135">
        <v>43</v>
      </c>
      <c r="B81" s="22">
        <f t="shared" si="5"/>
        <v>116.10000000000001</v>
      </c>
      <c r="C81" s="11">
        <f t="shared" si="6"/>
        <v>795.6</v>
      </c>
      <c r="D81" s="137">
        <f t="shared" si="9"/>
        <v>803.7378571428492</v>
      </c>
      <c r="E81" s="138">
        <f t="shared" si="10"/>
        <v>6.922806693736857</v>
      </c>
      <c r="F81" s="129" t="str">
        <f t="shared" si="11"/>
        <v>RuN</v>
      </c>
      <c r="G81" s="139">
        <f t="shared" si="3"/>
        <v>38.571197011777556</v>
      </c>
      <c r="H81" s="140">
        <f t="shared" si="12"/>
        <v>765.1666601310716</v>
      </c>
      <c r="I81" s="136"/>
      <c r="J81" s="157">
        <f t="shared" si="7"/>
        <v>0.2942015690829345</v>
      </c>
      <c r="K81" s="157">
        <f t="shared" si="8"/>
        <v>0.3702462691905807</v>
      </c>
    </row>
    <row r="82" spans="1:11" s="1" customFormat="1" ht="12.75">
      <c r="A82" s="135">
        <v>34</v>
      </c>
      <c r="B82" s="22">
        <f t="shared" si="5"/>
        <v>122.4</v>
      </c>
      <c r="C82" s="11">
        <f t="shared" si="6"/>
        <v>16.2</v>
      </c>
      <c r="D82" s="137">
        <f t="shared" si="9"/>
        <v>34.773583246865456</v>
      </c>
      <c r="E82" s="138">
        <f t="shared" si="10"/>
        <v>0.284097902343672</v>
      </c>
      <c r="F82" s="129" t="str">
        <f t="shared" si="11"/>
        <v>RuN</v>
      </c>
      <c r="G82" s="139">
        <f t="shared" si="3"/>
        <v>40.66420770233913</v>
      </c>
      <c r="H82" s="140">
        <f t="shared" si="12"/>
        <v>-5.89062445547367</v>
      </c>
      <c r="I82" s="136" t="s">
        <v>332</v>
      </c>
      <c r="J82" s="157">
        <f t="shared" si="7"/>
        <v>0.2942015690829345</v>
      </c>
      <c r="K82" s="157">
        <f t="shared" si="8"/>
        <v>0.3702462691905807</v>
      </c>
    </row>
    <row r="83" spans="1:11" ht="12.75">
      <c r="A83" s="135">
        <v>68</v>
      </c>
      <c r="B83" s="22">
        <f t="shared" si="5"/>
        <v>122.4</v>
      </c>
      <c r="C83" s="11">
        <f t="shared" si="6"/>
        <v>754.65</v>
      </c>
      <c r="D83" s="137">
        <f t="shared" si="9"/>
        <v>762.7436191130179</v>
      </c>
      <c r="E83" s="138">
        <f t="shared" si="10"/>
        <v>6.231565515629231</v>
      </c>
      <c r="F83" s="129" t="str">
        <f t="shared" si="11"/>
        <v>RuN</v>
      </c>
      <c r="G83" s="139">
        <f t="shared" si="3"/>
        <v>40.66420770233913</v>
      </c>
      <c r="H83" s="140">
        <f t="shared" si="12"/>
        <v>722.0794114106787</v>
      </c>
      <c r="I83" s="136"/>
      <c r="J83" s="157">
        <f t="shared" si="7"/>
        <v>0.2942015690829345</v>
      </c>
      <c r="K83" s="157">
        <f t="shared" si="8"/>
        <v>0.3702462691905807</v>
      </c>
    </row>
    <row r="84" spans="1:11" ht="12.75">
      <c r="A84" s="135">
        <v>31</v>
      </c>
      <c r="B84" s="22">
        <f t="shared" si="5"/>
        <v>125.55000000000001</v>
      </c>
      <c r="C84" s="11">
        <f t="shared" si="6"/>
        <v>896.4</v>
      </c>
      <c r="D84" s="137">
        <f t="shared" si="9"/>
        <v>908.4223844177814</v>
      </c>
      <c r="E84" s="138">
        <f t="shared" si="10"/>
        <v>7.235542687517174</v>
      </c>
      <c r="F84" s="129" t="str">
        <f t="shared" si="11"/>
        <v>RuN</v>
      </c>
      <c r="G84" s="139">
        <f t="shared" si="3"/>
        <v>41.71071304761992</v>
      </c>
      <c r="H84" s="140">
        <f t="shared" si="12"/>
        <v>866.7116713701614</v>
      </c>
      <c r="I84" s="136"/>
      <c r="J84" s="157">
        <f t="shared" si="7"/>
        <v>0.2942015690829345</v>
      </c>
      <c r="K84" s="157">
        <f t="shared" si="8"/>
        <v>0.3702462691905807</v>
      </c>
    </row>
    <row r="85" spans="1:11" ht="12.75">
      <c r="A85" s="135">
        <v>93</v>
      </c>
      <c r="B85" s="22">
        <f t="shared" si="5"/>
        <v>125.55000000000001</v>
      </c>
      <c r="C85" s="11">
        <f t="shared" si="6"/>
        <v>707.85</v>
      </c>
      <c r="D85" s="137">
        <f t="shared" si="9"/>
        <v>715.7725906298135</v>
      </c>
      <c r="E85" s="138">
        <f t="shared" si="10"/>
        <v>5.7010959030650215</v>
      </c>
      <c r="F85" s="129" t="str">
        <f t="shared" si="11"/>
        <v>RuN</v>
      </c>
      <c r="G85" s="139">
        <f t="shared" si="3"/>
        <v>41.71071304761992</v>
      </c>
      <c r="H85" s="140">
        <f t="shared" si="12"/>
        <v>674.0618775821936</v>
      </c>
      <c r="I85" s="136"/>
      <c r="J85" s="157">
        <f t="shared" si="7"/>
        <v>0.2942015690829345</v>
      </c>
      <c r="K85" s="157">
        <f t="shared" si="8"/>
        <v>0.3702462691905807</v>
      </c>
    </row>
    <row r="86" spans="1:11" s="153" customFormat="1" ht="12.75">
      <c r="A86" s="135">
        <v>28</v>
      </c>
      <c r="B86" s="22">
        <f t="shared" si="5"/>
        <v>126</v>
      </c>
      <c r="C86" s="11">
        <f t="shared" si="6"/>
        <v>0</v>
      </c>
      <c r="D86" s="137">
        <f t="shared" si="9"/>
        <v>17.16804775960749</v>
      </c>
      <c r="E86" s="138">
        <f t="shared" si="10"/>
        <v>0.13625434729847213</v>
      </c>
      <c r="F86" s="129" t="str">
        <f t="shared" si="11"/>
        <v>RuN</v>
      </c>
      <c r="G86" s="139">
        <f t="shared" si="3"/>
        <v>41.86021381123145</v>
      </c>
      <c r="H86" s="140">
        <f t="shared" si="12"/>
        <v>-24.692166051623964</v>
      </c>
      <c r="I86" s="136" t="s">
        <v>332</v>
      </c>
      <c r="J86" s="157">
        <f t="shared" si="7"/>
        <v>0.2942015690829345</v>
      </c>
      <c r="K86" s="157">
        <f t="shared" si="8"/>
        <v>0.3702462691905807</v>
      </c>
    </row>
    <row r="87" spans="1:11" ht="12.75">
      <c r="A87" s="135">
        <v>40</v>
      </c>
      <c r="B87" s="22">
        <f t="shared" si="5"/>
        <v>126</v>
      </c>
      <c r="C87" s="11">
        <f t="shared" si="6"/>
        <v>67.05</v>
      </c>
      <c r="D87" s="137">
        <f t="shared" si="9"/>
        <v>87.80305549322387</v>
      </c>
      <c r="E87" s="138">
        <f t="shared" si="10"/>
        <v>0.696849646771618</v>
      </c>
      <c r="F87" s="129" t="str">
        <f t="shared" si="11"/>
        <v>RuN</v>
      </c>
      <c r="G87" s="139">
        <f t="shared" si="3"/>
        <v>41.86021381123145</v>
      </c>
      <c r="H87" s="140">
        <f t="shared" si="12"/>
        <v>45.94284168199241</v>
      </c>
      <c r="I87" s="136"/>
      <c r="J87" s="157">
        <f t="shared" si="7"/>
        <v>0.2942015690829345</v>
      </c>
      <c r="K87" s="157">
        <f t="shared" si="8"/>
        <v>0.3702462691905807</v>
      </c>
    </row>
    <row r="88" spans="1:11" ht="12.75">
      <c r="A88" s="135">
        <v>48</v>
      </c>
      <c r="B88" s="22">
        <f t="shared" si="5"/>
        <v>129.60000000000002</v>
      </c>
      <c r="C88" s="11">
        <f t="shared" si="6"/>
        <v>271.8</v>
      </c>
      <c r="D88" s="137">
        <f t="shared" si="9"/>
        <v>281.3780517535472</v>
      </c>
      <c r="E88" s="138">
        <f t="shared" si="10"/>
        <v>2.171126942542802</v>
      </c>
      <c r="F88" s="129" t="str">
        <f t="shared" si="11"/>
        <v>RuN</v>
      </c>
      <c r="G88" s="139">
        <f t="shared" si="3"/>
        <v>43.05621992012379</v>
      </c>
      <c r="H88" s="140">
        <f t="shared" si="12"/>
        <v>238.3218318334234</v>
      </c>
      <c r="I88" s="136"/>
      <c r="J88" s="157">
        <f t="shared" si="7"/>
        <v>0.2942015690829345</v>
      </c>
      <c r="K88" s="157">
        <f t="shared" si="8"/>
        <v>0.3702462691905807</v>
      </c>
    </row>
    <row r="89" spans="1:11" ht="12.75">
      <c r="A89" s="135">
        <v>35</v>
      </c>
      <c r="B89" s="22">
        <f t="shared" si="5"/>
        <v>141.75</v>
      </c>
      <c r="C89" s="11">
        <f t="shared" si="6"/>
        <v>114.75</v>
      </c>
      <c r="D89" s="137">
        <f t="shared" si="9"/>
        <v>128.11830639593524</v>
      </c>
      <c r="E89" s="138">
        <f t="shared" si="10"/>
        <v>0.9038328493540405</v>
      </c>
      <c r="F89" s="129" t="str">
        <f t="shared" si="11"/>
        <v>RuN</v>
      </c>
      <c r="G89" s="139">
        <f t="shared" si="3"/>
        <v>47.092740537635386</v>
      </c>
      <c r="H89" s="140">
        <f t="shared" si="12"/>
        <v>81.02556585829984</v>
      </c>
      <c r="I89" s="136"/>
      <c r="J89" s="157">
        <f t="shared" si="7"/>
        <v>0.2942015690829345</v>
      </c>
      <c r="K89" s="157">
        <f t="shared" si="8"/>
        <v>0.3702462691905807</v>
      </c>
    </row>
    <row r="90" spans="1:11" ht="12.75">
      <c r="A90" s="135">
        <v>67</v>
      </c>
      <c r="B90" s="22">
        <f t="shared" si="5"/>
        <v>150.75</v>
      </c>
      <c r="C90" s="11">
        <f t="shared" si="6"/>
        <v>335.7</v>
      </c>
      <c r="D90" s="137">
        <f t="shared" si="9"/>
        <v>346.0518217901682</v>
      </c>
      <c r="E90" s="138">
        <f t="shared" si="10"/>
        <v>2.2955344729032716</v>
      </c>
      <c r="F90" s="129" t="str">
        <f t="shared" si="11"/>
        <v>RuN</v>
      </c>
      <c r="G90" s="139">
        <f t="shared" si="3"/>
        <v>50.08275580986621</v>
      </c>
      <c r="H90" s="140">
        <f t="shared" si="12"/>
        <v>295.969065980302</v>
      </c>
      <c r="I90" s="136"/>
      <c r="J90" s="157">
        <f t="shared" si="7"/>
        <v>0.2942015690829345</v>
      </c>
      <c r="K90" s="157">
        <f t="shared" si="8"/>
        <v>0.3702462691905807</v>
      </c>
    </row>
    <row r="91" spans="1:11" s="152" customFormat="1" ht="12.75">
      <c r="A91" s="135">
        <v>86</v>
      </c>
      <c r="B91" s="22">
        <f t="shared" si="5"/>
        <v>154.8</v>
      </c>
      <c r="C91" s="11">
        <f t="shared" si="6"/>
        <v>402.3</v>
      </c>
      <c r="D91" s="137">
        <f aca="true" t="shared" si="13" ref="D91:D122">C91+B91*(C$5*(1+C$3*SIN(A91)))</f>
        <v>412.29891794422633</v>
      </c>
      <c r="E91" s="138">
        <f aca="true" t="shared" si="14" ref="E91:E122">IF(B91&gt;0,D91/B91,10000)</f>
        <v>2.663429702482082</v>
      </c>
      <c r="F91" s="129" t="str">
        <f aca="true" t="shared" si="15" ref="F91:F121">IF(E91=10000,G$1,IF(D91=G91,H$1,I$1))</f>
        <v>RuN</v>
      </c>
      <c r="G91" s="139">
        <f aca="true" t="shared" si="16" ref="G91:G126">B91*C$9</f>
        <v>51.428262682370075</v>
      </c>
      <c r="H91" s="140">
        <v>0</v>
      </c>
      <c r="I91" s="136"/>
      <c r="J91" s="157">
        <f t="shared" si="7"/>
        <v>0.2942015690829345</v>
      </c>
      <c r="K91" s="157">
        <f t="shared" si="8"/>
        <v>0.3702462691905807</v>
      </c>
    </row>
    <row r="92" spans="1:11" ht="12.75">
      <c r="A92" s="135">
        <v>51</v>
      </c>
      <c r="B92" s="22">
        <f aca="true" t="shared" si="17" ref="B92:B126">A92*C$4*ABS(ROUND(COS(A92)*10,0))</f>
        <v>160.65</v>
      </c>
      <c r="C92" s="11">
        <f aca="true" t="shared" si="18" ref="C92:C126">C$4*ROUND(ABS(SIN(A92+5)-1)*1000,0)</f>
        <v>684.9</v>
      </c>
      <c r="D92" s="137">
        <f t="shared" si="13"/>
        <v>710.6383390259542</v>
      </c>
      <c r="E92" s="138">
        <f t="shared" si="14"/>
        <v>4.423519072679453</v>
      </c>
      <c r="F92" s="129" t="str">
        <f t="shared" si="15"/>
        <v>RuN</v>
      </c>
      <c r="G92" s="139">
        <f t="shared" si="16"/>
        <v>53.37177260932011</v>
      </c>
      <c r="H92" s="140">
        <f aca="true" t="shared" si="19" ref="H92:H126">D92-G92</f>
        <v>657.2665664166341</v>
      </c>
      <c r="I92" s="136"/>
      <c r="J92" s="157">
        <f aca="true" t="shared" si="20" ref="J92:J126">D$18</f>
        <v>0.2942015690829345</v>
      </c>
      <c r="K92" s="157">
        <f aca="true" t="shared" si="21" ref="K92:K126">D$19</f>
        <v>0.3702462691905807</v>
      </c>
    </row>
    <row r="93" spans="1:11" ht="12.75">
      <c r="A93" s="135">
        <v>90</v>
      </c>
      <c r="B93" s="22">
        <f t="shared" si="17"/>
        <v>162</v>
      </c>
      <c r="C93" s="11">
        <f t="shared" si="18"/>
        <v>142.65</v>
      </c>
      <c r="D93" s="137">
        <f t="shared" si="13"/>
        <v>170.77964757019743</v>
      </c>
      <c r="E93" s="138">
        <f t="shared" si="14"/>
        <v>1.054195355371589</v>
      </c>
      <c r="F93" s="129" t="str">
        <f t="shared" si="15"/>
        <v>RuN</v>
      </c>
      <c r="G93" s="139">
        <f t="shared" si="16"/>
        <v>53.82027490015473</v>
      </c>
      <c r="H93" s="140">
        <f t="shared" si="19"/>
        <v>116.9593726700427</v>
      </c>
      <c r="I93" s="136"/>
      <c r="J93" s="157">
        <f t="shared" si="20"/>
        <v>0.2942015690829345</v>
      </c>
      <c r="K93" s="157">
        <f t="shared" si="21"/>
        <v>0.3702462691905807</v>
      </c>
    </row>
    <row r="94" spans="1:11" ht="12.75">
      <c r="A94" s="135">
        <v>38</v>
      </c>
      <c r="B94" s="22">
        <f t="shared" si="17"/>
        <v>171</v>
      </c>
      <c r="C94" s="11">
        <f t="shared" si="18"/>
        <v>824.4</v>
      </c>
      <c r="D94" s="137">
        <f t="shared" si="13"/>
        <v>847.9607416175583</v>
      </c>
      <c r="E94" s="138">
        <f t="shared" si="14"/>
        <v>4.95883474630151</v>
      </c>
      <c r="F94" s="129" t="str">
        <f t="shared" si="15"/>
        <v>RuN</v>
      </c>
      <c r="G94" s="139">
        <f t="shared" si="16"/>
        <v>56.81029017238555</v>
      </c>
      <c r="H94" s="140">
        <f t="shared" si="19"/>
        <v>791.1504514451727</v>
      </c>
      <c r="I94" s="136"/>
      <c r="J94" s="157">
        <f t="shared" si="20"/>
        <v>0.2942015690829345</v>
      </c>
      <c r="K94" s="157">
        <f t="shared" si="21"/>
        <v>0.3702462691905807</v>
      </c>
    </row>
    <row r="95" spans="1:11" ht="12.75">
      <c r="A95" s="135">
        <v>65</v>
      </c>
      <c r="B95" s="22">
        <f t="shared" si="17"/>
        <v>175.5</v>
      </c>
      <c r="C95" s="11">
        <f t="shared" si="18"/>
        <v>101.7</v>
      </c>
      <c r="D95" s="137">
        <f t="shared" si="13"/>
        <v>131.4665059950308</v>
      </c>
      <c r="E95" s="138">
        <f t="shared" si="14"/>
        <v>0.7490969002565857</v>
      </c>
      <c r="F95" s="129" t="str">
        <f t="shared" si="15"/>
        <v>RuN</v>
      </c>
      <c r="G95" s="139">
        <f t="shared" si="16"/>
        <v>58.30529780850095</v>
      </c>
      <c r="H95" s="140">
        <f t="shared" si="19"/>
        <v>73.16120818652983</v>
      </c>
      <c r="I95" s="136"/>
      <c r="J95" s="157">
        <f t="shared" si="20"/>
        <v>0.2942015690829345</v>
      </c>
      <c r="K95" s="157">
        <f t="shared" si="21"/>
        <v>0.3702462691905807</v>
      </c>
    </row>
    <row r="96" spans="1:11" s="1" customFormat="1" ht="12.75">
      <c r="A96" s="130">
        <v>41</v>
      </c>
      <c r="B96" s="22">
        <f t="shared" si="17"/>
        <v>184.5</v>
      </c>
      <c r="C96" s="11">
        <f t="shared" si="18"/>
        <v>44.1</v>
      </c>
      <c r="D96" s="132">
        <f t="shared" si="13"/>
        <v>64.48404705633187</v>
      </c>
      <c r="E96" s="133">
        <f t="shared" si="14"/>
        <v>0.3495070301156199</v>
      </c>
      <c r="F96" s="126" t="str">
        <f t="shared" si="15"/>
        <v>N</v>
      </c>
      <c r="G96" s="139">
        <f>D96</f>
        <v>64.48404705633187</v>
      </c>
      <c r="H96" s="119">
        <f t="shared" si="19"/>
        <v>0</v>
      </c>
      <c r="I96" s="131" t="s">
        <v>139</v>
      </c>
      <c r="J96" s="157">
        <f t="shared" si="20"/>
        <v>0.2942015690829345</v>
      </c>
      <c r="K96" s="157">
        <f t="shared" si="21"/>
        <v>0.3702462691905807</v>
      </c>
    </row>
    <row r="97" spans="1:11" ht="12.75">
      <c r="A97" s="135">
        <v>54</v>
      </c>
      <c r="B97" s="22">
        <f t="shared" si="17"/>
        <v>194.4</v>
      </c>
      <c r="C97" s="11">
        <f t="shared" si="18"/>
        <v>163.35</v>
      </c>
      <c r="D97" s="137">
        <f t="shared" si="13"/>
        <v>180.16028453419474</v>
      </c>
      <c r="E97" s="138">
        <f t="shared" si="14"/>
        <v>0.9267504348466807</v>
      </c>
      <c r="F97" s="129" t="str">
        <f t="shared" si="15"/>
        <v>RuN</v>
      </c>
      <c r="G97" s="139">
        <f t="shared" si="16"/>
        <v>64.58432988018568</v>
      </c>
      <c r="H97" s="140">
        <f t="shared" si="19"/>
        <v>115.57595465400907</v>
      </c>
      <c r="I97" s="136"/>
      <c r="J97" s="157">
        <f t="shared" si="20"/>
        <v>0.2942015690829345</v>
      </c>
      <c r="K97" s="157">
        <f t="shared" si="21"/>
        <v>0.3702462691905807</v>
      </c>
    </row>
    <row r="98" spans="1:11" ht="12.75">
      <c r="A98" s="135">
        <v>62</v>
      </c>
      <c r="B98" s="22">
        <f t="shared" si="17"/>
        <v>195.3</v>
      </c>
      <c r="C98" s="11">
        <f t="shared" si="18"/>
        <v>835.2</v>
      </c>
      <c r="D98" s="137">
        <f t="shared" si="13"/>
        <v>849.9742805966645</v>
      </c>
      <c r="E98" s="138">
        <f t="shared" si="14"/>
        <v>4.352146854053581</v>
      </c>
      <c r="F98" s="129" t="str">
        <f t="shared" si="15"/>
        <v>RuN</v>
      </c>
      <c r="G98" s="139">
        <f t="shared" si="16"/>
        <v>64.88333140740876</v>
      </c>
      <c r="H98" s="140">
        <f t="shared" si="19"/>
        <v>785.0909491892558</v>
      </c>
      <c r="I98" s="136"/>
      <c r="J98" s="157">
        <f t="shared" si="20"/>
        <v>0.2942015690829345</v>
      </c>
      <c r="K98" s="157">
        <f t="shared" si="21"/>
        <v>0.3702462691905807</v>
      </c>
    </row>
    <row r="99" spans="1:11" ht="12.75">
      <c r="A99" s="135">
        <v>44</v>
      </c>
      <c r="B99" s="22">
        <f t="shared" si="17"/>
        <v>198</v>
      </c>
      <c r="C99" s="11">
        <f t="shared" si="18"/>
        <v>879.3000000000001</v>
      </c>
      <c r="D99" s="137">
        <f t="shared" si="13"/>
        <v>903.2702988702524</v>
      </c>
      <c r="E99" s="138">
        <f t="shared" si="14"/>
        <v>4.561971206415416</v>
      </c>
      <c r="F99" s="129" t="str">
        <f t="shared" si="15"/>
        <v>RuN</v>
      </c>
      <c r="G99" s="139">
        <f t="shared" si="16"/>
        <v>65.780335989078</v>
      </c>
      <c r="H99" s="140">
        <f t="shared" si="19"/>
        <v>837.4899628811744</v>
      </c>
      <c r="I99" s="136"/>
      <c r="J99" s="157">
        <f t="shared" si="20"/>
        <v>0.2942015690829345</v>
      </c>
      <c r="K99" s="157">
        <f t="shared" si="21"/>
        <v>0.3702462691905807</v>
      </c>
    </row>
    <row r="100" spans="1:11" ht="12.75">
      <c r="A100" s="135">
        <v>89</v>
      </c>
      <c r="B100" s="22">
        <f t="shared" si="17"/>
        <v>200.25000000000003</v>
      </c>
      <c r="C100" s="11">
        <f t="shared" si="18"/>
        <v>560.25</v>
      </c>
      <c r="D100" s="137">
        <f t="shared" si="13"/>
        <v>594.6137339108366</v>
      </c>
      <c r="E100" s="138">
        <f t="shared" si="14"/>
        <v>2.9693569733375105</v>
      </c>
      <c r="F100" s="129" t="str">
        <f t="shared" si="15"/>
        <v>RuN</v>
      </c>
      <c r="G100" s="139">
        <f t="shared" si="16"/>
        <v>66.52783980713572</v>
      </c>
      <c r="H100" s="140">
        <f t="shared" si="19"/>
        <v>528.0858941037009</v>
      </c>
      <c r="I100" s="136"/>
      <c r="J100" s="157">
        <f t="shared" si="20"/>
        <v>0.2942015690829345</v>
      </c>
      <c r="K100" s="157">
        <f t="shared" si="21"/>
        <v>0.3702462691905807</v>
      </c>
    </row>
    <row r="101" spans="1:11" s="1" customFormat="1" ht="12.75">
      <c r="A101" s="135">
        <v>47</v>
      </c>
      <c r="B101" s="22">
        <f t="shared" si="17"/>
        <v>211.50000000000003</v>
      </c>
      <c r="C101" s="11">
        <f t="shared" si="18"/>
        <v>5.8500000000000005</v>
      </c>
      <c r="D101" s="137">
        <f t="shared" si="13"/>
        <v>32.798142927636896</v>
      </c>
      <c r="E101" s="138">
        <f t="shared" si="14"/>
        <v>0.15507396183279853</v>
      </c>
      <c r="F101" s="129" t="str">
        <f t="shared" si="15"/>
        <v>RuN</v>
      </c>
      <c r="G101" s="139">
        <f t="shared" si="16"/>
        <v>70.26535889742424</v>
      </c>
      <c r="H101" s="140">
        <f t="shared" si="19"/>
        <v>-37.46721596978734</v>
      </c>
      <c r="I101" s="136" t="s">
        <v>331</v>
      </c>
      <c r="J101" s="157">
        <f t="shared" si="20"/>
        <v>0.2942015690829345</v>
      </c>
      <c r="K101" s="157">
        <f t="shared" si="21"/>
        <v>0.3702462691905807</v>
      </c>
    </row>
    <row r="102" spans="1:11" s="153" customFormat="1" ht="12.75">
      <c r="A102" s="130">
        <v>59</v>
      </c>
      <c r="B102" s="22">
        <f t="shared" si="17"/>
        <v>212.4</v>
      </c>
      <c r="C102" s="11">
        <f t="shared" si="18"/>
        <v>36</v>
      </c>
      <c r="D102" s="132">
        <f t="shared" si="13"/>
        <v>69.60258916298118</v>
      </c>
      <c r="E102" s="133">
        <f t="shared" si="14"/>
        <v>0.3276958058520771</v>
      </c>
      <c r="F102" s="126" t="str">
        <f t="shared" si="15"/>
        <v>N</v>
      </c>
      <c r="G102" s="134">
        <f>D102</f>
        <v>69.60258916298118</v>
      </c>
      <c r="H102" s="119">
        <f t="shared" si="19"/>
        <v>0</v>
      </c>
      <c r="I102" s="131" t="s">
        <v>139</v>
      </c>
      <c r="J102" s="157">
        <f t="shared" si="20"/>
        <v>0.2942015690829345</v>
      </c>
      <c r="K102" s="157">
        <f t="shared" si="21"/>
        <v>0.3702462691905807</v>
      </c>
    </row>
    <row r="103" spans="1:11" s="1" customFormat="1" ht="12.75">
      <c r="A103" s="135">
        <v>53</v>
      </c>
      <c r="B103" s="22">
        <f t="shared" si="17"/>
        <v>214.65</v>
      </c>
      <c r="C103" s="11">
        <f t="shared" si="18"/>
        <v>3.15</v>
      </c>
      <c r="D103" s="137">
        <f t="shared" si="13"/>
        <v>34.007120009191844</v>
      </c>
      <c r="E103" s="138">
        <f t="shared" si="14"/>
        <v>0.15843056142181153</v>
      </c>
      <c r="F103" s="129" t="str">
        <f t="shared" si="15"/>
        <v>RuN</v>
      </c>
      <c r="G103" s="139">
        <f t="shared" si="16"/>
        <v>71.31186424270501</v>
      </c>
      <c r="H103" s="140">
        <f t="shared" si="19"/>
        <v>-37.30474423351317</v>
      </c>
      <c r="I103" s="136" t="s">
        <v>332</v>
      </c>
      <c r="J103" s="157">
        <f t="shared" si="20"/>
        <v>0.2942015690829345</v>
      </c>
      <c r="K103" s="157">
        <f t="shared" si="21"/>
        <v>0.3702462691905807</v>
      </c>
    </row>
    <row r="104" spans="1:11" s="69" customFormat="1" ht="12.75">
      <c r="A104" s="135">
        <v>50</v>
      </c>
      <c r="B104" s="22">
        <f t="shared" si="17"/>
        <v>225</v>
      </c>
      <c r="C104" s="11">
        <f t="shared" si="18"/>
        <v>900</v>
      </c>
      <c r="D104" s="137">
        <f t="shared" si="13"/>
        <v>923.4579394749969</v>
      </c>
      <c r="E104" s="138">
        <f t="shared" si="14"/>
        <v>4.104257508777764</v>
      </c>
      <c r="F104" s="129" t="str">
        <f t="shared" si="15"/>
        <v>RuN</v>
      </c>
      <c r="G104" s="139">
        <f t="shared" si="16"/>
        <v>74.75038180577046</v>
      </c>
      <c r="H104" s="140">
        <f t="shared" si="19"/>
        <v>848.7075576692265</v>
      </c>
      <c r="I104" s="136"/>
      <c r="J104" s="157">
        <f t="shared" si="20"/>
        <v>0.2942015690829345</v>
      </c>
      <c r="K104" s="157">
        <f t="shared" si="21"/>
        <v>0.3702462691905807</v>
      </c>
    </row>
    <row r="105" spans="1:11" ht="12.75">
      <c r="A105" s="135">
        <v>56</v>
      </c>
      <c r="B105" s="22">
        <f t="shared" si="17"/>
        <v>226.79999999999998</v>
      </c>
      <c r="C105" s="11">
        <f t="shared" si="18"/>
        <v>884.7</v>
      </c>
      <c r="D105" s="137">
        <f t="shared" si="13"/>
        <v>904.8187339636013</v>
      </c>
      <c r="E105" s="138">
        <f t="shared" si="14"/>
        <v>3.9895005906684364</v>
      </c>
      <c r="F105" s="129" t="str">
        <f t="shared" si="15"/>
        <v>RuN</v>
      </c>
      <c r="G105" s="139">
        <f t="shared" si="16"/>
        <v>75.34838486021661</v>
      </c>
      <c r="H105" s="140">
        <f t="shared" si="19"/>
        <v>829.4703491033847</v>
      </c>
      <c r="I105" s="136"/>
      <c r="J105" s="157">
        <f t="shared" si="20"/>
        <v>0.2942015690829345</v>
      </c>
      <c r="K105" s="157">
        <f t="shared" si="21"/>
        <v>0.3702462691905807</v>
      </c>
    </row>
    <row r="106" spans="1:11" ht="12.75">
      <c r="A106" s="135">
        <v>57</v>
      </c>
      <c r="B106" s="22">
        <f t="shared" si="17"/>
        <v>230.85000000000002</v>
      </c>
      <c r="C106" s="11">
        <f t="shared" si="18"/>
        <v>782.5500000000001</v>
      </c>
      <c r="D106" s="137">
        <f t="shared" si="13"/>
        <v>816.2933180249377</v>
      </c>
      <c r="E106" s="138">
        <f t="shared" si="14"/>
        <v>3.536033433073154</v>
      </c>
      <c r="F106" s="129" t="str">
        <f t="shared" si="15"/>
        <v>RuN</v>
      </c>
      <c r="G106" s="139">
        <f t="shared" si="16"/>
        <v>76.6938917327205</v>
      </c>
      <c r="H106" s="140">
        <f t="shared" si="19"/>
        <v>739.5994262922171</v>
      </c>
      <c r="I106" s="136"/>
      <c r="J106" s="157">
        <f t="shared" si="20"/>
        <v>0.2942015690829345</v>
      </c>
      <c r="K106" s="157">
        <f t="shared" si="21"/>
        <v>0.3702462691905807</v>
      </c>
    </row>
    <row r="107" spans="1:11" ht="12.75">
      <c r="A107" s="135">
        <v>87</v>
      </c>
      <c r="B107" s="22">
        <f t="shared" si="17"/>
        <v>234.89999999999998</v>
      </c>
      <c r="C107" s="11">
        <f t="shared" si="18"/>
        <v>800.5500000000001</v>
      </c>
      <c r="D107" s="137">
        <f t="shared" si="13"/>
        <v>817.1552994105252</v>
      </c>
      <c r="E107" s="138">
        <f t="shared" si="14"/>
        <v>3.4787369068136456</v>
      </c>
      <c r="F107" s="129" t="str">
        <f t="shared" si="15"/>
        <v>RuN</v>
      </c>
      <c r="G107" s="139">
        <f t="shared" si="16"/>
        <v>78.03939860522435</v>
      </c>
      <c r="H107" s="140">
        <f t="shared" si="19"/>
        <v>739.1159008053008</v>
      </c>
      <c r="I107" s="136"/>
      <c r="J107" s="157">
        <f t="shared" si="20"/>
        <v>0.2942015690829345</v>
      </c>
      <c r="K107" s="157">
        <f t="shared" si="21"/>
        <v>0.3702462691905807</v>
      </c>
    </row>
    <row r="108" spans="1:11" ht="12.75">
      <c r="A108" s="135">
        <v>92</v>
      </c>
      <c r="B108" s="22">
        <f t="shared" si="17"/>
        <v>248.39999999999998</v>
      </c>
      <c r="C108" s="11">
        <f t="shared" si="18"/>
        <v>279</v>
      </c>
      <c r="D108" s="137">
        <f t="shared" si="13"/>
        <v>297.19083769844605</v>
      </c>
      <c r="E108" s="138">
        <f t="shared" si="14"/>
        <v>1.1964204416201534</v>
      </c>
      <c r="F108" s="129" t="str">
        <f t="shared" si="15"/>
        <v>RuN</v>
      </c>
      <c r="G108" s="139">
        <f t="shared" si="16"/>
        <v>82.52442151357057</v>
      </c>
      <c r="H108" s="140">
        <f t="shared" si="19"/>
        <v>214.66641618487546</v>
      </c>
      <c r="I108" s="136"/>
      <c r="J108" s="157">
        <f t="shared" si="20"/>
        <v>0.2942015690829345</v>
      </c>
      <c r="K108" s="157">
        <f t="shared" si="21"/>
        <v>0.3702462691905807</v>
      </c>
    </row>
    <row r="109" spans="1:11" s="1" customFormat="1" ht="12.75">
      <c r="A109" s="135">
        <v>84</v>
      </c>
      <c r="B109" s="22">
        <f t="shared" si="17"/>
        <v>264.6</v>
      </c>
      <c r="C109" s="11">
        <f t="shared" si="18"/>
        <v>63</v>
      </c>
      <c r="D109" s="137">
        <f t="shared" si="13"/>
        <v>106.39212952148358</v>
      </c>
      <c r="E109" s="138">
        <f t="shared" si="14"/>
        <v>0.40208665729963555</v>
      </c>
      <c r="F109" s="129" t="str">
        <f t="shared" si="15"/>
        <v>RuN</v>
      </c>
      <c r="G109" s="139">
        <f t="shared" si="16"/>
        <v>87.90644900358606</v>
      </c>
      <c r="H109" s="140">
        <f t="shared" si="19"/>
        <v>18.48568051789752</v>
      </c>
      <c r="I109" s="136"/>
      <c r="J109" s="157">
        <f t="shared" si="20"/>
        <v>0.2942015690829345</v>
      </c>
      <c r="K109" s="157">
        <f t="shared" si="21"/>
        <v>0.3702462691905807</v>
      </c>
    </row>
    <row r="110" spans="1:11" s="153" customFormat="1" ht="12.75">
      <c r="A110" s="135">
        <v>60</v>
      </c>
      <c r="B110" s="22">
        <f t="shared" si="17"/>
        <v>270</v>
      </c>
      <c r="C110" s="11">
        <f t="shared" si="18"/>
        <v>77.85000000000001</v>
      </c>
      <c r="D110" s="137">
        <f t="shared" si="13"/>
        <v>105.3120679381441</v>
      </c>
      <c r="E110" s="138">
        <f t="shared" si="14"/>
        <v>0.3900446960672004</v>
      </c>
      <c r="F110" s="129" t="str">
        <f t="shared" si="15"/>
        <v>RuN</v>
      </c>
      <c r="G110" s="139">
        <f t="shared" si="16"/>
        <v>89.70045816692455</v>
      </c>
      <c r="H110" s="140">
        <f t="shared" si="19"/>
        <v>15.611609771219548</v>
      </c>
      <c r="I110" s="136"/>
      <c r="J110" s="157">
        <f t="shared" si="20"/>
        <v>0.2942015690829345</v>
      </c>
      <c r="K110" s="157">
        <f t="shared" si="21"/>
        <v>0.3702462691905807</v>
      </c>
    </row>
    <row r="111" spans="1:11" ht="12.75">
      <c r="A111" s="135">
        <v>76</v>
      </c>
      <c r="B111" s="22">
        <f t="shared" si="17"/>
        <v>273.6</v>
      </c>
      <c r="C111" s="11">
        <f t="shared" si="18"/>
        <v>733.5</v>
      </c>
      <c r="D111" s="137">
        <f t="shared" si="13"/>
        <v>775.6252229673205</v>
      </c>
      <c r="E111" s="138">
        <f t="shared" si="14"/>
        <v>2.834887510845469</v>
      </c>
      <c r="F111" s="129" t="str">
        <f t="shared" si="15"/>
        <v>RuN</v>
      </c>
      <c r="G111" s="139">
        <f t="shared" si="16"/>
        <v>90.89646427581688</v>
      </c>
      <c r="H111" s="140">
        <f t="shared" si="19"/>
        <v>684.7287586915036</v>
      </c>
      <c r="I111" s="136"/>
      <c r="J111" s="157">
        <f t="shared" si="20"/>
        <v>0.2942015690829345</v>
      </c>
      <c r="K111" s="157">
        <f t="shared" si="21"/>
        <v>0.3702462691905807</v>
      </c>
    </row>
    <row r="112" spans="1:11" s="1" customFormat="1" ht="12.75">
      <c r="A112" s="135">
        <v>63</v>
      </c>
      <c r="B112" s="22">
        <f t="shared" si="17"/>
        <v>283.5</v>
      </c>
      <c r="C112" s="11">
        <f t="shared" si="18"/>
        <v>854.1</v>
      </c>
      <c r="D112" s="137">
        <f t="shared" si="13"/>
        <v>890.9667204621508</v>
      </c>
      <c r="E112" s="138">
        <f t="shared" si="14"/>
        <v>3.142739754716581</v>
      </c>
      <c r="F112" s="129" t="str">
        <f t="shared" si="15"/>
        <v>RuN</v>
      </c>
      <c r="G112" s="139">
        <f t="shared" si="16"/>
        <v>94.18548107527077</v>
      </c>
      <c r="H112" s="140">
        <f t="shared" si="19"/>
        <v>796.78123938688</v>
      </c>
      <c r="I112" s="136"/>
      <c r="J112" s="157">
        <f t="shared" si="20"/>
        <v>0.2942015690829345</v>
      </c>
      <c r="K112" s="157">
        <f t="shared" si="21"/>
        <v>0.3702462691905807</v>
      </c>
    </row>
    <row r="113" spans="1:11" s="50" customFormat="1" ht="12.75">
      <c r="A113" s="135">
        <v>66</v>
      </c>
      <c r="B113" s="22">
        <f t="shared" si="17"/>
        <v>297</v>
      </c>
      <c r="C113" s="11">
        <f t="shared" si="18"/>
        <v>22.05</v>
      </c>
      <c r="D113" s="137">
        <f t="shared" si="13"/>
        <v>57.216858435292906</v>
      </c>
      <c r="E113" s="138">
        <f t="shared" si="14"/>
        <v>0.1926493550009862</v>
      </c>
      <c r="F113" s="129" t="str">
        <f t="shared" si="15"/>
        <v>RuN</v>
      </c>
      <c r="G113" s="139">
        <f t="shared" si="16"/>
        <v>98.670503983617</v>
      </c>
      <c r="H113" s="140">
        <f t="shared" si="19"/>
        <v>-41.45364554832409</v>
      </c>
      <c r="I113" s="136" t="s">
        <v>332</v>
      </c>
      <c r="J113" s="157">
        <f t="shared" si="20"/>
        <v>0.2942015690829345</v>
      </c>
      <c r="K113" s="157">
        <f t="shared" si="21"/>
        <v>0.3702462691905807</v>
      </c>
    </row>
    <row r="114" spans="1:11" ht="12.75">
      <c r="A114" s="135">
        <v>95</v>
      </c>
      <c r="B114" s="22">
        <f t="shared" si="17"/>
        <v>299.25</v>
      </c>
      <c r="C114" s="11">
        <f t="shared" si="18"/>
        <v>677.7</v>
      </c>
      <c r="D114" s="137">
        <f t="shared" si="13"/>
        <v>725.8779640880871</v>
      </c>
      <c r="E114" s="138">
        <f t="shared" si="14"/>
        <v>2.4256573570195057</v>
      </c>
      <c r="F114" s="129" t="str">
        <f t="shared" si="15"/>
        <v>RuN</v>
      </c>
      <c r="G114" s="139">
        <f t="shared" si="16"/>
        <v>99.4180078016747</v>
      </c>
      <c r="H114" s="140">
        <f t="shared" si="19"/>
        <v>626.4599562864124</v>
      </c>
      <c r="I114" s="136"/>
      <c r="J114" s="157">
        <f t="shared" si="20"/>
        <v>0.2942015690829345</v>
      </c>
      <c r="K114" s="157">
        <f t="shared" si="21"/>
        <v>0.3702462691905807</v>
      </c>
    </row>
    <row r="115" spans="1:11" ht="12.75">
      <c r="A115" s="135">
        <v>75</v>
      </c>
      <c r="B115" s="22">
        <f t="shared" si="17"/>
        <v>303.75</v>
      </c>
      <c r="C115" s="11">
        <f t="shared" si="18"/>
        <v>897.3000000000001</v>
      </c>
      <c r="D115" s="137">
        <f t="shared" si="13"/>
        <v>926.6826796946632</v>
      </c>
      <c r="E115" s="138">
        <f t="shared" si="14"/>
        <v>3.0508071759495086</v>
      </c>
      <c r="F115" s="129" t="str">
        <f t="shared" si="15"/>
        <v>RuN</v>
      </c>
      <c r="G115" s="139">
        <f t="shared" si="16"/>
        <v>100.91301543779012</v>
      </c>
      <c r="H115" s="140">
        <f t="shared" si="19"/>
        <v>825.769664256873</v>
      </c>
      <c r="I115" s="136"/>
      <c r="J115" s="157">
        <f t="shared" si="20"/>
        <v>0.2942015690829345</v>
      </c>
      <c r="K115" s="157">
        <f t="shared" si="21"/>
        <v>0.3702462691905807</v>
      </c>
    </row>
    <row r="116" spans="1:11" ht="12.75">
      <c r="A116" s="135">
        <v>69</v>
      </c>
      <c r="B116" s="22">
        <f t="shared" si="17"/>
        <v>310.5</v>
      </c>
      <c r="C116" s="11">
        <f t="shared" si="18"/>
        <v>893.25</v>
      </c>
      <c r="D116" s="137">
        <f t="shared" si="13"/>
        <v>928.3715589192192</v>
      </c>
      <c r="E116" s="138">
        <f t="shared" si="14"/>
        <v>2.989924505375907</v>
      </c>
      <c r="F116" s="129" t="str">
        <f t="shared" si="15"/>
        <v>RuN</v>
      </c>
      <c r="G116" s="139">
        <f t="shared" si="16"/>
        <v>103.15552689196323</v>
      </c>
      <c r="H116" s="140">
        <f t="shared" si="19"/>
        <v>825.216032027256</v>
      </c>
      <c r="I116" s="136"/>
      <c r="J116" s="157">
        <f t="shared" si="20"/>
        <v>0.2942015690829345</v>
      </c>
      <c r="K116" s="157">
        <f t="shared" si="21"/>
        <v>0.3702462691905807</v>
      </c>
    </row>
    <row r="117" spans="1:11" s="1" customFormat="1" ht="12.75">
      <c r="A117" s="135">
        <v>78</v>
      </c>
      <c r="B117" s="22">
        <f t="shared" si="17"/>
        <v>315.90000000000003</v>
      </c>
      <c r="C117" s="11">
        <f t="shared" si="18"/>
        <v>14.4</v>
      </c>
      <c r="D117" s="137">
        <f t="shared" si="13"/>
        <v>62.049947654787736</v>
      </c>
      <c r="E117" s="138">
        <f t="shared" si="14"/>
        <v>0.19642275294329767</v>
      </c>
      <c r="F117" s="129" t="str">
        <f t="shared" si="15"/>
        <v>RuN</v>
      </c>
      <c r="G117" s="139">
        <f t="shared" si="16"/>
        <v>104.94953605530173</v>
      </c>
      <c r="H117" s="140">
        <f t="shared" si="19"/>
        <v>-42.899588400514</v>
      </c>
      <c r="I117" s="136" t="s">
        <v>332</v>
      </c>
      <c r="J117" s="157">
        <f t="shared" si="20"/>
        <v>0.2942015690829345</v>
      </c>
      <c r="K117" s="157">
        <f t="shared" si="21"/>
        <v>0.3702462691905807</v>
      </c>
    </row>
    <row r="118" spans="1:11" s="1" customFormat="1" ht="12.75">
      <c r="A118" s="135">
        <v>79</v>
      </c>
      <c r="B118" s="22">
        <f t="shared" si="17"/>
        <v>319.95000000000005</v>
      </c>
      <c r="C118" s="11">
        <f t="shared" si="18"/>
        <v>120.15</v>
      </c>
      <c r="D118" s="137">
        <f t="shared" si="13"/>
        <v>150.01836909882198</v>
      </c>
      <c r="E118" s="138">
        <f t="shared" si="14"/>
        <v>0.46888066603788703</v>
      </c>
      <c r="F118" s="129" t="str">
        <f t="shared" si="15"/>
        <v>RuN</v>
      </c>
      <c r="G118" s="139">
        <f t="shared" si="16"/>
        <v>106.29504292780561</v>
      </c>
      <c r="H118" s="140">
        <f t="shared" si="19"/>
        <v>43.72332617101637</v>
      </c>
      <c r="I118" s="136"/>
      <c r="J118" s="157">
        <f t="shared" si="20"/>
        <v>0.2942015690829345</v>
      </c>
      <c r="K118" s="157">
        <f t="shared" si="21"/>
        <v>0.3702462691905807</v>
      </c>
    </row>
    <row r="119" spans="1:11" s="153" customFormat="1" ht="12.75">
      <c r="A119" s="135">
        <v>72</v>
      </c>
      <c r="B119" s="22">
        <f t="shared" si="17"/>
        <v>324</v>
      </c>
      <c r="C119" s="11">
        <f t="shared" si="18"/>
        <v>0</v>
      </c>
      <c r="D119" s="137">
        <f t="shared" si="13"/>
        <v>43.81432617209398</v>
      </c>
      <c r="E119" s="138">
        <f t="shared" si="14"/>
        <v>0.13522940176572215</v>
      </c>
      <c r="F119" s="129" t="str">
        <f t="shared" si="15"/>
        <v>RuN</v>
      </c>
      <c r="G119" s="139">
        <f t="shared" si="16"/>
        <v>107.64054980030946</v>
      </c>
      <c r="H119" s="140">
        <f t="shared" si="19"/>
        <v>-63.82622362821548</v>
      </c>
      <c r="I119" s="136" t="s">
        <v>332</v>
      </c>
      <c r="J119" s="157">
        <f t="shared" si="20"/>
        <v>0.2942015690829345</v>
      </c>
      <c r="K119" s="157">
        <f t="shared" si="21"/>
        <v>0.3702462691905807</v>
      </c>
    </row>
    <row r="120" spans="1:11" ht="12.75">
      <c r="A120" s="135">
        <v>82</v>
      </c>
      <c r="B120" s="22">
        <f t="shared" si="17"/>
        <v>332.09999999999997</v>
      </c>
      <c r="C120" s="11">
        <f t="shared" si="18"/>
        <v>819.9</v>
      </c>
      <c r="D120" s="137">
        <f t="shared" si="13"/>
        <v>865.9933967187616</v>
      </c>
      <c r="E120" s="138">
        <f t="shared" si="14"/>
        <v>2.6076284152928686</v>
      </c>
      <c r="F120" s="129" t="str">
        <f t="shared" si="15"/>
        <v>RuN</v>
      </c>
      <c r="G120" s="139">
        <f t="shared" si="16"/>
        <v>110.33156354531718</v>
      </c>
      <c r="H120" s="140">
        <f t="shared" si="19"/>
        <v>755.6618331734444</v>
      </c>
      <c r="I120" s="136"/>
      <c r="J120" s="157">
        <f t="shared" si="20"/>
        <v>0.2942015690829345</v>
      </c>
      <c r="K120" s="157">
        <f t="shared" si="21"/>
        <v>0.3702462691905807</v>
      </c>
    </row>
    <row r="121" spans="1:11" s="1" customFormat="1" ht="12.75">
      <c r="A121" s="135">
        <v>85</v>
      </c>
      <c r="B121" s="22">
        <f t="shared" si="17"/>
        <v>382.5</v>
      </c>
      <c r="C121" s="11">
        <f t="shared" si="18"/>
        <v>47.7</v>
      </c>
      <c r="D121" s="137">
        <f t="shared" si="13"/>
        <v>89.55906452217992</v>
      </c>
      <c r="E121" s="138">
        <f t="shared" si="14"/>
        <v>0.23414134515602594</v>
      </c>
      <c r="F121" s="129" t="str">
        <f t="shared" si="15"/>
        <v>RuN</v>
      </c>
      <c r="G121" s="139">
        <f t="shared" si="16"/>
        <v>127.07564906980977</v>
      </c>
      <c r="H121" s="140">
        <f t="shared" si="19"/>
        <v>-37.51658454762985</v>
      </c>
      <c r="I121" s="136" t="s">
        <v>332</v>
      </c>
      <c r="J121" s="157">
        <f t="shared" si="20"/>
        <v>0.2942015690829345</v>
      </c>
      <c r="K121" s="157">
        <f t="shared" si="21"/>
        <v>0.3702462691905807</v>
      </c>
    </row>
    <row r="122" spans="1:11" s="1" customFormat="1" ht="12.75">
      <c r="A122" s="135">
        <v>97</v>
      </c>
      <c r="B122" s="22">
        <f t="shared" si="17"/>
        <v>392.84999999999997</v>
      </c>
      <c r="C122" s="11">
        <f t="shared" si="18"/>
        <v>2.25</v>
      </c>
      <c r="D122" s="137">
        <f t="shared" si="13"/>
        <v>58.33973401661771</v>
      </c>
      <c r="E122" s="138">
        <f t="shared" si="14"/>
        <v>0.1485038412030488</v>
      </c>
      <c r="F122" s="129" t="s">
        <v>54</v>
      </c>
      <c r="G122" s="139">
        <f t="shared" si="16"/>
        <v>130.5141666328752</v>
      </c>
      <c r="H122" s="140">
        <f t="shared" si="19"/>
        <v>-72.17443261625749</v>
      </c>
      <c r="I122" s="136" t="s">
        <v>332</v>
      </c>
      <c r="J122" s="157">
        <f t="shared" si="20"/>
        <v>0.2942015690829345</v>
      </c>
      <c r="K122" s="157">
        <f t="shared" si="21"/>
        <v>0.3702462691905807</v>
      </c>
    </row>
    <row r="123" spans="1:11" ht="12.75">
      <c r="A123" s="135">
        <v>88</v>
      </c>
      <c r="B123" s="22">
        <f t="shared" si="17"/>
        <v>396</v>
      </c>
      <c r="C123" s="11">
        <f t="shared" si="18"/>
        <v>876.6</v>
      </c>
      <c r="D123" s="137">
        <f>C123+B123*(C$5*(1+C$3*SIN(A123)))</f>
        <v>924.9610636729518</v>
      </c>
      <c r="E123" s="138">
        <f>IF(B123&gt;0,D123/B123,10000)</f>
        <v>2.335760261800383</v>
      </c>
      <c r="F123" s="129" t="str">
        <f>IF(E123=10000,G$1,IF(D123=G123,H$1,I$1))</f>
        <v>RuN</v>
      </c>
      <c r="G123" s="139">
        <f t="shared" si="16"/>
        <v>131.560671978156</v>
      </c>
      <c r="H123" s="140">
        <f t="shared" si="19"/>
        <v>793.4003916947959</v>
      </c>
      <c r="I123" s="136"/>
      <c r="J123" s="157">
        <f t="shared" si="20"/>
        <v>0.2942015690829345</v>
      </c>
      <c r="K123" s="157">
        <f t="shared" si="21"/>
        <v>0.3702462691905807</v>
      </c>
    </row>
    <row r="124" spans="1:11" ht="12.75">
      <c r="A124" s="135">
        <v>100</v>
      </c>
      <c r="B124" s="22">
        <f t="shared" si="17"/>
        <v>405</v>
      </c>
      <c r="C124" s="11">
        <f t="shared" si="18"/>
        <v>886.95</v>
      </c>
      <c r="D124" s="137">
        <f>C124+B124*(C$5*(1+C$3*SIN(A124)))</f>
        <v>923.2453149210329</v>
      </c>
      <c r="E124" s="138">
        <f>IF(B124&gt;0,D124/B124,10000)</f>
        <v>2.2796180615334145</v>
      </c>
      <c r="F124" s="129" t="str">
        <f>IF(E124=10000,G$1,IF(D124=G124,H$1,I$1))</f>
        <v>RuN</v>
      </c>
      <c r="G124" s="139">
        <f t="shared" si="16"/>
        <v>134.55068725038683</v>
      </c>
      <c r="H124" s="140">
        <f t="shared" si="19"/>
        <v>788.694627670646</v>
      </c>
      <c r="I124" s="136"/>
      <c r="J124" s="157">
        <f t="shared" si="20"/>
        <v>0.2942015690829345</v>
      </c>
      <c r="K124" s="157">
        <f t="shared" si="21"/>
        <v>0.3702462691905807</v>
      </c>
    </row>
    <row r="125" spans="1:11" s="1" customFormat="1" ht="12.75">
      <c r="A125" s="135">
        <v>91</v>
      </c>
      <c r="B125" s="22">
        <f t="shared" si="17"/>
        <v>409.5</v>
      </c>
      <c r="C125" s="11">
        <f t="shared" si="18"/>
        <v>7.2</v>
      </c>
      <c r="D125" s="137">
        <f>C125+B125*(C$5*(1+C$3*SIN(A125)))</f>
        <v>58.94411316372592</v>
      </c>
      <c r="E125" s="138">
        <f>IF(B125&gt;0,D125/B125,10000)</f>
        <v>0.143941668287487</v>
      </c>
      <c r="F125" s="129" t="str">
        <f>IF(E125=10000,G$1,IF(D125=G125,H$1,I$1))</f>
        <v>RuN</v>
      </c>
      <c r="G125" s="139">
        <f t="shared" si="16"/>
        <v>136.04569488650222</v>
      </c>
      <c r="H125" s="140">
        <f t="shared" si="19"/>
        <v>-77.1015817227763</v>
      </c>
      <c r="I125" s="136" t="s">
        <v>332</v>
      </c>
      <c r="J125" s="157">
        <f t="shared" si="20"/>
        <v>0.2942015690829345</v>
      </c>
      <c r="K125" s="157">
        <f t="shared" si="21"/>
        <v>0.3702462691905807</v>
      </c>
    </row>
    <row r="126" spans="1:11" ht="13.5" thickBot="1">
      <c r="A126" s="159">
        <v>94</v>
      </c>
      <c r="B126" s="22">
        <f t="shared" si="17"/>
        <v>423.00000000000006</v>
      </c>
      <c r="C126" s="11">
        <f t="shared" si="18"/>
        <v>899.5500000000001</v>
      </c>
      <c r="D126" s="137">
        <f>C126+B126*(C$5*(1+C$3*SIN(A126)))</f>
        <v>944.085504608831</v>
      </c>
      <c r="E126" s="161">
        <f>IF(B126&gt;0,D126/B126,10000)</f>
        <v>2.2318806255527917</v>
      </c>
      <c r="F126" s="129" t="str">
        <f>IF(E126=10000,G$1,IF(D126=G126,H$1,I$1))</f>
        <v>RuN</v>
      </c>
      <c r="G126" s="139">
        <f t="shared" si="16"/>
        <v>140.53071779484847</v>
      </c>
      <c r="H126" s="162">
        <f t="shared" si="19"/>
        <v>803.5547868139826</v>
      </c>
      <c r="I126" s="160"/>
      <c r="J126" s="157">
        <f t="shared" si="20"/>
        <v>0.2942015690829345</v>
      </c>
      <c r="K126" s="157">
        <f t="shared" si="21"/>
        <v>0.3702462691905807</v>
      </c>
    </row>
    <row r="127" spans="1:9" ht="13.5" thickBot="1">
      <c r="A127" s="145"/>
      <c r="B127" s="146">
        <f>SUM(B27:B126)</f>
        <v>13032.45</v>
      </c>
      <c r="C127" s="147">
        <f>SUM(C27:C126)</f>
        <v>44285.399999999994</v>
      </c>
      <c r="D127" s="148">
        <f>SUM(D27:D126)</f>
        <v>45857.12221900967</v>
      </c>
      <c r="E127" s="149">
        <f>MIN(E27:E126)</f>
        <v>0.13522940176572215</v>
      </c>
      <c r="F127" s="150" t="s">
        <v>0</v>
      </c>
      <c r="G127" s="148">
        <f>SUM(G27:G126)</f>
        <v>4330.655832896047</v>
      </c>
      <c r="H127" s="148">
        <f>SUM(H27:H126)</f>
        <v>41165.59573085178</v>
      </c>
      <c r="I127" s="151" t="s">
        <v>8</v>
      </c>
    </row>
    <row r="128" spans="1:9" ht="13.5" thickBot="1">
      <c r="A128" s="10"/>
      <c r="B128" s="51" t="s">
        <v>95</v>
      </c>
      <c r="C128" s="50"/>
      <c r="D128" s="52" t="s">
        <v>96</v>
      </c>
      <c r="E128" s="60"/>
      <c r="G128" s="51" t="s">
        <v>97</v>
      </c>
      <c r="H128" s="51" t="s">
        <v>98</v>
      </c>
      <c r="I128" s="10"/>
    </row>
  </sheetData>
  <mergeCells count="3">
    <mergeCell ref="B24:D24"/>
    <mergeCell ref="G24:H25"/>
    <mergeCell ref="I24:I25"/>
  </mergeCells>
  <printOptions/>
  <pageMargins left="0.75" right="0.75" top="1" bottom="1" header="0.5" footer="0.5"/>
  <pageSetup horizontalDpi="600" verticalDpi="600" orientation="portrait" paperSize="9" r:id="rId4"/>
  <headerFooter alignWithMargins="0">
    <oddHeader>&amp;LЗадача с двумя емкостями. Модель.&amp;R&amp;P</oddHeader>
  </headerFooter>
  <rowBreaks count="1" manualBreakCount="1">
    <brk id="129" max="255" man="1"/>
  </rowBreaks>
  <drawing r:id="rId3"/>
  <legacyDrawing r:id="rId2"/>
</worksheet>
</file>

<file path=xl/worksheets/sheet7.xml><?xml version="1.0" encoding="utf-8"?>
<worksheet xmlns="http://schemas.openxmlformats.org/spreadsheetml/2006/main" xmlns:r="http://schemas.openxmlformats.org/officeDocument/2006/relationships">
  <dimension ref="A1:J46"/>
  <sheetViews>
    <sheetView workbookViewId="0" topLeftCell="A1">
      <selection activeCell="C13" sqref="C13"/>
    </sheetView>
  </sheetViews>
  <sheetFormatPr defaultColWidth="9.00390625" defaultRowHeight="12.75"/>
  <cols>
    <col min="1" max="1" width="39.50390625" style="0" customWidth="1"/>
    <col min="2" max="2" width="11.875" style="0" customWidth="1"/>
    <col min="3" max="3" width="10.375" style="0" customWidth="1"/>
    <col min="7" max="7" width="12.375" style="0" bestFit="1" customWidth="1"/>
  </cols>
  <sheetData>
    <row r="1" spans="1:3" ht="12.75">
      <c r="A1" s="353" t="s">
        <v>202</v>
      </c>
      <c r="B1" s="354" t="s">
        <v>188</v>
      </c>
      <c r="C1" s="355"/>
    </row>
    <row r="2" spans="1:3" ht="12.75">
      <c r="A2" s="273" t="s">
        <v>203</v>
      </c>
      <c r="B2" s="342" t="s">
        <v>193</v>
      </c>
      <c r="C2" s="274">
        <v>1.6605E-24</v>
      </c>
    </row>
    <row r="3" spans="1:3" ht="12.75">
      <c r="A3" s="273" t="s">
        <v>194</v>
      </c>
      <c r="B3" s="342" t="s">
        <v>193</v>
      </c>
      <c r="C3" s="274">
        <v>1E-09</v>
      </c>
    </row>
    <row r="4" spans="1:3" ht="12.75">
      <c r="A4" s="273" t="s">
        <v>470</v>
      </c>
      <c r="B4" s="342" t="s">
        <v>193</v>
      </c>
      <c r="C4" s="274">
        <v>1E-12</v>
      </c>
    </row>
    <row r="5" spans="1:3" ht="12.75">
      <c r="A5" s="273" t="s">
        <v>207</v>
      </c>
      <c r="B5" s="342" t="s">
        <v>31</v>
      </c>
      <c r="C5" s="274">
        <v>0.001</v>
      </c>
    </row>
    <row r="6" spans="1:4" ht="12.75">
      <c r="A6" s="273" t="s">
        <v>471</v>
      </c>
      <c r="B6" s="342" t="s">
        <v>205</v>
      </c>
      <c r="C6" s="503">
        <v>650</v>
      </c>
      <c r="D6" s="500" t="s">
        <v>462</v>
      </c>
    </row>
    <row r="7" spans="1:3" ht="12.75">
      <c r="A7" s="273" t="s">
        <v>209</v>
      </c>
      <c r="B7" s="342"/>
      <c r="C7" s="261">
        <v>1600</v>
      </c>
    </row>
    <row r="8" spans="1:3" ht="12.75">
      <c r="A8" s="273"/>
      <c r="B8" s="342"/>
      <c r="C8" s="274"/>
    </row>
    <row r="9" spans="1:4" ht="22.5">
      <c r="A9" s="600" t="s">
        <v>210</v>
      </c>
      <c r="B9" s="276" t="s">
        <v>472</v>
      </c>
      <c r="C9" s="240">
        <v>4641652</v>
      </c>
      <c r="D9" s="502"/>
    </row>
    <row r="10" spans="1:3" ht="12.75">
      <c r="A10" s="275" t="s">
        <v>630</v>
      </c>
      <c r="B10" s="276" t="s">
        <v>205</v>
      </c>
      <c r="C10" s="246">
        <f>C9*C6</f>
        <v>3017073800</v>
      </c>
    </row>
    <row r="11" spans="1:7" ht="12.75">
      <c r="A11" s="275" t="s">
        <v>628</v>
      </c>
      <c r="B11" s="342" t="s">
        <v>193</v>
      </c>
      <c r="C11" s="246">
        <f>C10*C2</f>
        <v>5.0098510449000006E-15</v>
      </c>
      <c r="G11" s="234"/>
    </row>
    <row r="12" spans="1:7" ht="12.75">
      <c r="A12" s="275"/>
      <c r="B12" s="342" t="s">
        <v>589</v>
      </c>
      <c r="C12" s="246">
        <f>C11/C3</f>
        <v>5.0098510449E-06</v>
      </c>
      <c r="G12" s="234"/>
    </row>
    <row r="13" spans="1:3" ht="12.75">
      <c r="A13" s="275"/>
      <c r="B13" s="342"/>
      <c r="C13" s="246"/>
    </row>
    <row r="14" spans="1:3" ht="22.5">
      <c r="A14" s="275" t="s">
        <v>696</v>
      </c>
      <c r="B14" s="342"/>
      <c r="C14" s="770">
        <v>7</v>
      </c>
    </row>
    <row r="15" spans="1:4" ht="12.75">
      <c r="A15" s="273" t="s">
        <v>629</v>
      </c>
      <c r="B15" s="342" t="s">
        <v>205</v>
      </c>
      <c r="C15" s="248">
        <f>C7*C6/2</f>
        <v>520000</v>
      </c>
      <c r="D15" s="610"/>
    </row>
    <row r="16" spans="1:8" ht="12.75">
      <c r="A16" s="273" t="s">
        <v>628</v>
      </c>
      <c r="B16" s="342" t="s">
        <v>193</v>
      </c>
      <c r="C16" s="246">
        <f>C15*C2</f>
        <v>8.6346E-19</v>
      </c>
      <c r="H16" s="234"/>
    </row>
    <row r="17" spans="1:3" ht="12.75">
      <c r="A17" s="273"/>
      <c r="B17" s="342"/>
      <c r="C17" s="274"/>
    </row>
    <row r="18" spans="1:3" ht="20.25">
      <c r="A18" s="273" t="s">
        <v>211</v>
      </c>
      <c r="B18" s="276" t="s">
        <v>472</v>
      </c>
      <c r="C18" s="508">
        <v>3090000000</v>
      </c>
    </row>
    <row r="19" spans="1:3" ht="21" thickBot="1">
      <c r="A19" s="273" t="s">
        <v>566</v>
      </c>
      <c r="B19" s="276" t="s">
        <v>472</v>
      </c>
      <c r="C19" s="246">
        <f>C18*2</f>
        <v>6180000000</v>
      </c>
    </row>
    <row r="20" spans="1:3" ht="12.75">
      <c r="A20" s="512" t="s">
        <v>567</v>
      </c>
      <c r="B20" s="513" t="s">
        <v>467</v>
      </c>
      <c r="C20" s="520">
        <v>16569</v>
      </c>
    </row>
    <row r="21" spans="1:3" ht="12.75">
      <c r="A21" s="515" t="s">
        <v>568</v>
      </c>
      <c r="B21" s="276"/>
      <c r="C21" s="521">
        <v>120</v>
      </c>
    </row>
    <row r="22" spans="1:10" ht="15">
      <c r="A22" s="515" t="s">
        <v>570</v>
      </c>
      <c r="B22" s="276" t="s">
        <v>467</v>
      </c>
      <c r="C22" s="522">
        <f>C20*C21</f>
        <v>1988280</v>
      </c>
      <c r="F22" s="234"/>
      <c r="G22" t="s">
        <v>466</v>
      </c>
      <c r="H22" s="502">
        <v>1</v>
      </c>
      <c r="I22" s="509">
        <v>978000000</v>
      </c>
      <c r="J22" t="s">
        <v>467</v>
      </c>
    </row>
    <row r="23" spans="1:10" ht="13.5" thickBot="1">
      <c r="A23" s="517" t="s">
        <v>570</v>
      </c>
      <c r="B23" s="518" t="s">
        <v>469</v>
      </c>
      <c r="C23" s="523">
        <f>C22*C6</f>
        <v>1292382000</v>
      </c>
      <c r="F23" s="234"/>
      <c r="G23" t="s">
        <v>466</v>
      </c>
      <c r="H23" s="234">
        <f>1/I22</f>
        <v>1.0224948875255623E-09</v>
      </c>
      <c r="I23">
        <v>1</v>
      </c>
      <c r="J23" t="s">
        <v>467</v>
      </c>
    </row>
    <row r="24" spans="1:10" ht="12.75">
      <c r="A24" s="512" t="s">
        <v>571</v>
      </c>
      <c r="B24" s="513" t="s">
        <v>467</v>
      </c>
      <c r="C24" s="514">
        <f>C19+C22</f>
        <v>6181988280</v>
      </c>
      <c r="F24" s="234"/>
      <c r="G24" t="s">
        <v>468</v>
      </c>
      <c r="H24" s="234">
        <f>H23/1000000000000</f>
        <v>1.0224948875255624E-21</v>
      </c>
      <c r="I24">
        <v>1</v>
      </c>
      <c r="J24" t="s">
        <v>467</v>
      </c>
    </row>
    <row r="25" spans="1:10" ht="12.75">
      <c r="A25" s="515" t="s">
        <v>570</v>
      </c>
      <c r="B25" s="342" t="s">
        <v>205</v>
      </c>
      <c r="C25" s="516">
        <f>C24*C6</f>
        <v>4018292382000</v>
      </c>
      <c r="F25" s="234"/>
      <c r="G25" t="s">
        <v>469</v>
      </c>
      <c r="H25" s="510">
        <f>H24/C2</f>
        <v>615.7753011295166</v>
      </c>
      <c r="I25">
        <v>1</v>
      </c>
      <c r="J25" t="s">
        <v>467</v>
      </c>
    </row>
    <row r="26" spans="1:10" ht="13.5" thickBot="1">
      <c r="A26" s="517" t="s">
        <v>570</v>
      </c>
      <c r="B26" s="518" t="s">
        <v>193</v>
      </c>
      <c r="C26" s="519">
        <f>C25*C2</f>
        <v>6.672374500311001E-12</v>
      </c>
      <c r="E26" s="235" t="s">
        <v>473</v>
      </c>
      <c r="F26" s="511"/>
      <c r="G26" s="235"/>
      <c r="H26" s="235"/>
      <c r="I26" s="509">
        <f>C24/I22</f>
        <v>6.321051411042945</v>
      </c>
      <c r="J26" t="s">
        <v>466</v>
      </c>
    </row>
    <row r="27" spans="1:3" ht="12.75">
      <c r="A27" s="273"/>
      <c r="B27" s="276"/>
      <c r="C27" s="248"/>
    </row>
    <row r="28" spans="1:4" ht="12.75">
      <c r="A28" s="277" t="s">
        <v>212</v>
      </c>
      <c r="B28" s="343"/>
      <c r="C28" s="278">
        <f>C26/C11</f>
        <v>1331.8508755072548</v>
      </c>
      <c r="D28">
        <f>C28/(C28+2)</f>
        <v>0.998500582009035</v>
      </c>
    </row>
    <row r="29" spans="1:3" ht="12.75">
      <c r="A29" s="275" t="s">
        <v>278</v>
      </c>
      <c r="B29" s="342" t="s">
        <v>30</v>
      </c>
      <c r="C29" s="248">
        <f>'Задача 2 - Параметры'!D5</f>
        <v>5140000</v>
      </c>
    </row>
    <row r="30" spans="1:3" ht="12.75">
      <c r="A30" s="275" t="s">
        <v>279</v>
      </c>
      <c r="B30" s="342" t="s">
        <v>195</v>
      </c>
      <c r="C30" s="248">
        <f>C29*C26</f>
        <v>3.4296004931598544E-05</v>
      </c>
    </row>
    <row r="31" spans="1:3" ht="12.75">
      <c r="A31" s="275"/>
      <c r="B31" s="342"/>
      <c r="C31" s="248"/>
    </row>
    <row r="32" spans="1:3" ht="12.75">
      <c r="A32" s="326" t="s">
        <v>267</v>
      </c>
      <c r="B32" s="341"/>
      <c r="C32" s="320"/>
    </row>
    <row r="33" spans="1:3" ht="12.75">
      <c r="A33" s="275" t="s">
        <v>270</v>
      </c>
      <c r="B33" s="342"/>
      <c r="C33" s="321">
        <v>0.01</v>
      </c>
    </row>
    <row r="34" spans="1:3" ht="12.75">
      <c r="A34" s="275" t="s">
        <v>268</v>
      </c>
      <c r="B34" s="342"/>
      <c r="C34" s="322">
        <v>0.545</v>
      </c>
    </row>
    <row r="35" spans="1:3" ht="12.75">
      <c r="A35" s="241" t="s">
        <v>269</v>
      </c>
      <c r="B35" s="343"/>
      <c r="C35" s="323">
        <v>0.445</v>
      </c>
    </row>
    <row r="37" spans="1:4" ht="12.75">
      <c r="A37" s="499" t="s">
        <v>460</v>
      </c>
      <c r="B37" s="499" t="s">
        <v>195</v>
      </c>
      <c r="C37" s="249">
        <f>0.00003</f>
        <v>3E-05</v>
      </c>
      <c r="D37" s="500" t="s">
        <v>462</v>
      </c>
    </row>
    <row r="38" spans="1:3" ht="12.75">
      <c r="A38" s="499" t="s">
        <v>461</v>
      </c>
      <c r="B38" s="499"/>
      <c r="C38" s="249">
        <f>0.00006</f>
        <v>6E-05</v>
      </c>
    </row>
    <row r="40" spans="1:3" ht="12.75">
      <c r="A40" s="499" t="s">
        <v>463</v>
      </c>
      <c r="B40" s="499" t="s">
        <v>195</v>
      </c>
      <c r="C40" s="249">
        <v>6E-08</v>
      </c>
    </row>
    <row r="41" spans="1:3" ht="12.75">
      <c r="A41" s="499" t="s">
        <v>464</v>
      </c>
      <c r="B41" s="499" t="s">
        <v>195</v>
      </c>
      <c r="C41" s="249">
        <v>3.3E-07</v>
      </c>
    </row>
    <row r="43" ht="12.75">
      <c r="A43" s="499" t="s">
        <v>569</v>
      </c>
    </row>
    <row r="44" ht="12.75">
      <c r="A44" s="500" t="s">
        <v>462</v>
      </c>
    </row>
    <row r="45" ht="12.75">
      <c r="A45" s="500" t="s">
        <v>462</v>
      </c>
    </row>
    <row r="46" ht="12.75">
      <c r="A46" s="500" t="s">
        <v>462</v>
      </c>
    </row>
  </sheetData>
  <hyperlinks>
    <hyperlink ref="A32" r:id="rId1" display="Состав крови"/>
    <hyperlink ref="D37" r:id="rId2" display="link"/>
    <hyperlink ref="C6" r:id="rId3" display="https://www.neb.com/tools-and-resources/usage-guidelines/nucleic-acid-data"/>
    <hyperlink ref="A44" r:id="rId4" display="link"/>
    <hyperlink ref="A45" r:id="rId5" display="link"/>
    <hyperlink ref="D6" r:id="rId6" display="link"/>
    <hyperlink ref="A46" r:id="rId7" display="link"/>
    <hyperlink ref="A9" r:id="rId8" display="Геном Escherichia coli K-12 (Gammaproteobacteria) "/>
  </hyperlinks>
  <printOptions/>
  <pageMargins left="0.75" right="0.75" top="1" bottom="1" header="0.5" footer="0.5"/>
  <pageSetup horizontalDpi="600" verticalDpi="600" orientation="portrait" paperSize="9" r:id="rId11"/>
  <legacyDrawing r:id="rId10"/>
</worksheet>
</file>

<file path=xl/worksheets/sheet8.xml><?xml version="1.0" encoding="utf-8"?>
<worksheet xmlns="http://schemas.openxmlformats.org/spreadsheetml/2006/main" xmlns:r="http://schemas.openxmlformats.org/officeDocument/2006/relationships">
  <dimension ref="A1:W31"/>
  <sheetViews>
    <sheetView workbookViewId="0" topLeftCell="A1">
      <selection activeCell="A1" sqref="A1"/>
    </sheetView>
  </sheetViews>
  <sheetFormatPr defaultColWidth="9.00390625" defaultRowHeight="12.75"/>
  <cols>
    <col min="1" max="1" width="6.875" style="236" customWidth="1"/>
    <col min="2" max="2" width="16.50390625" style="236" customWidth="1"/>
    <col min="3" max="3" width="5.875" style="236" customWidth="1"/>
    <col min="4" max="4" width="10.75390625" style="452" customWidth="1"/>
    <col min="5" max="5" width="8.50390625" style="236" customWidth="1"/>
    <col min="6" max="6" width="9.25390625" style="236" customWidth="1"/>
    <col min="7" max="7" width="5.50390625" style="236" customWidth="1"/>
    <col min="8" max="8" width="6.25390625" style="236" customWidth="1"/>
    <col min="9" max="10" width="6.375" style="236" customWidth="1"/>
    <col min="11" max="11" width="10.25390625" style="453" customWidth="1"/>
    <col min="12" max="12" width="7.00390625" style="236" customWidth="1"/>
    <col min="13" max="13" width="7.625" style="236" customWidth="1"/>
    <col min="14" max="14" width="5.50390625" style="236" customWidth="1"/>
    <col min="15" max="15" width="7.50390625" style="236" customWidth="1"/>
    <col min="16" max="17" width="6.625" style="236" customWidth="1"/>
    <col min="18" max="18" width="6.875" style="484" customWidth="1"/>
    <col min="19" max="19" width="5.875" style="484" customWidth="1"/>
    <col min="20" max="20" width="5.875" style="487" customWidth="1"/>
    <col min="21" max="21" width="30.00390625" style="236" customWidth="1"/>
    <col min="22" max="22" width="11.00390625" style="452" customWidth="1"/>
    <col min="23" max="23" width="5.00390625" style="452" customWidth="1"/>
    <col min="24" max="16384" width="8.875" style="236" customWidth="1"/>
  </cols>
  <sheetData>
    <row r="1" spans="3:23" s="476" customFormat="1" ht="12.75" customHeight="1">
      <c r="C1" s="476" t="s">
        <v>437</v>
      </c>
      <c r="D1" s="733" t="s">
        <v>426</v>
      </c>
      <c r="E1" s="734"/>
      <c r="F1" s="734"/>
      <c r="G1" s="734"/>
      <c r="H1" s="734"/>
      <c r="I1" s="734"/>
      <c r="J1" s="735"/>
      <c r="K1" s="733" t="s">
        <v>427</v>
      </c>
      <c r="L1" s="734"/>
      <c r="M1" s="734"/>
      <c r="N1" s="734"/>
      <c r="O1" s="734"/>
      <c r="P1" s="734"/>
      <c r="Q1" s="735"/>
      <c r="R1" s="533" t="s">
        <v>421</v>
      </c>
      <c r="S1" s="479" t="s">
        <v>422</v>
      </c>
      <c r="T1" s="487" t="s">
        <v>454</v>
      </c>
      <c r="U1" s="476" t="s">
        <v>342</v>
      </c>
      <c r="V1" s="477" t="s">
        <v>428</v>
      </c>
      <c r="W1" s="476" t="s">
        <v>424</v>
      </c>
    </row>
    <row r="2" spans="1:22" s="457" customFormat="1" ht="22.5" customHeight="1">
      <c r="A2" s="457" t="s">
        <v>419</v>
      </c>
      <c r="B2" s="457" t="s">
        <v>420</v>
      </c>
      <c r="C2" s="457" t="s">
        <v>438</v>
      </c>
      <c r="D2" s="543" t="s">
        <v>598</v>
      </c>
      <c r="E2" s="723" t="s">
        <v>421</v>
      </c>
      <c r="F2" s="723"/>
      <c r="G2" s="723" t="s">
        <v>422</v>
      </c>
      <c r="H2" s="723"/>
      <c r="I2" s="723" t="s">
        <v>593</v>
      </c>
      <c r="J2" s="736"/>
      <c r="K2" s="543" t="s">
        <v>599</v>
      </c>
      <c r="L2" s="723" t="s">
        <v>421</v>
      </c>
      <c r="M2" s="723"/>
      <c r="N2" s="723" t="s">
        <v>422</v>
      </c>
      <c r="O2" s="723"/>
      <c r="P2" s="723" t="s">
        <v>593</v>
      </c>
      <c r="Q2" s="736"/>
      <c r="R2" s="534" t="s">
        <v>457</v>
      </c>
      <c r="S2" s="479" t="s">
        <v>457</v>
      </c>
      <c r="T2" s="487" t="s">
        <v>455</v>
      </c>
      <c r="V2" s="452"/>
    </row>
    <row r="3" spans="1:23" ht="26.25" customHeight="1">
      <c r="A3" s="724" t="s">
        <v>423</v>
      </c>
      <c r="B3" s="471" t="s">
        <v>429</v>
      </c>
      <c r="C3" s="732" t="s">
        <v>282</v>
      </c>
      <c r="D3" s="544"/>
      <c r="E3" s="459">
        <f>10/11</f>
        <v>0.9090909090909091</v>
      </c>
      <c r="F3" s="459"/>
      <c r="G3" s="459">
        <f>1/11</f>
        <v>0.09090909090909091</v>
      </c>
      <c r="H3" s="459"/>
      <c r="I3" s="459"/>
      <c r="J3" s="545"/>
      <c r="K3" s="565"/>
      <c r="L3" s="459">
        <v>0.15</v>
      </c>
      <c r="M3" s="459"/>
      <c r="N3" s="459">
        <f>1-L3</f>
        <v>0.85</v>
      </c>
      <c r="O3" s="459"/>
      <c r="P3" s="454"/>
      <c r="Q3" s="547"/>
      <c r="R3" s="537">
        <f>L3/(E3*S3)</f>
        <v>0.01764705882352941</v>
      </c>
      <c r="S3" s="480">
        <f>N3/G3</f>
        <v>9.35</v>
      </c>
      <c r="T3" s="488"/>
      <c r="U3" s="727" t="s">
        <v>448</v>
      </c>
      <c r="V3" s="721">
        <v>24204593</v>
      </c>
      <c r="W3" s="712">
        <v>2013</v>
      </c>
    </row>
    <row r="4" spans="1:23" ht="24">
      <c r="A4" s="725"/>
      <c r="B4" s="472" t="s">
        <v>430</v>
      </c>
      <c r="C4" s="730"/>
      <c r="D4" s="546"/>
      <c r="E4" s="454">
        <f>20/21</f>
        <v>0.9523809523809523</v>
      </c>
      <c r="F4" s="454"/>
      <c r="G4" s="454">
        <f>1/21</f>
        <v>0.047619047619047616</v>
      </c>
      <c r="H4" s="454"/>
      <c r="I4" s="454"/>
      <c r="J4" s="547"/>
      <c r="K4" s="566"/>
      <c r="L4" s="454">
        <v>0.16666666666666666</v>
      </c>
      <c r="M4" s="454"/>
      <c r="N4" s="454">
        <f>1-L4</f>
        <v>0.8333333333333334</v>
      </c>
      <c r="O4" s="454"/>
      <c r="P4" s="454"/>
      <c r="Q4" s="547"/>
      <c r="R4" s="537">
        <f>L4/(E4*S4)</f>
        <v>0.01</v>
      </c>
      <c r="S4" s="481">
        <f>N4/G4</f>
        <v>17.5</v>
      </c>
      <c r="U4" s="728"/>
      <c r="V4" s="722"/>
      <c r="W4" s="713"/>
    </row>
    <row r="5" spans="1:23" ht="21" customHeight="1">
      <c r="A5" s="725"/>
      <c r="B5" s="473" t="s">
        <v>431</v>
      </c>
      <c r="C5" s="731"/>
      <c r="D5" s="548"/>
      <c r="E5" s="460">
        <f>40/41</f>
        <v>0.975609756097561</v>
      </c>
      <c r="F5" s="460"/>
      <c r="G5" s="460">
        <f>1/41</f>
        <v>0.024390243902439025</v>
      </c>
      <c r="H5" s="460"/>
      <c r="I5" s="460"/>
      <c r="J5" s="549"/>
      <c r="K5" s="567"/>
      <c r="L5" s="460">
        <v>0.35</v>
      </c>
      <c r="M5" s="460"/>
      <c r="N5" s="460">
        <f>1-L5</f>
        <v>0.65</v>
      </c>
      <c r="O5" s="460"/>
      <c r="P5" s="460"/>
      <c r="Q5" s="549"/>
      <c r="R5" s="539">
        <f>L5/(E5*S5)</f>
        <v>0.013461538461538462</v>
      </c>
      <c r="S5" s="482">
        <f>N5/G5</f>
        <v>26.65</v>
      </c>
      <c r="T5" s="489"/>
      <c r="U5" s="729"/>
      <c r="V5" s="722"/>
      <c r="W5" s="713"/>
    </row>
    <row r="6" spans="1:23" ht="126" customHeight="1">
      <c r="A6" s="725"/>
      <c r="B6" s="472" t="s">
        <v>447</v>
      </c>
      <c r="C6" s="730" t="s">
        <v>282</v>
      </c>
      <c r="D6" s="575" t="s">
        <v>450</v>
      </c>
      <c r="E6" s="454"/>
      <c r="F6" s="454"/>
      <c r="G6" s="454"/>
      <c r="H6" s="454"/>
      <c r="I6" s="454"/>
      <c r="J6" s="547"/>
      <c r="K6" s="566"/>
      <c r="L6" s="454"/>
      <c r="M6" s="454"/>
      <c r="N6" s="454"/>
      <c r="O6" s="454"/>
      <c r="P6" s="454"/>
      <c r="Q6" s="547"/>
      <c r="R6" s="493"/>
      <c r="S6" s="481">
        <v>8</v>
      </c>
      <c r="U6" s="469" t="s">
        <v>459</v>
      </c>
      <c r="V6" s="725"/>
      <c r="W6" s="713"/>
    </row>
    <row r="7" spans="1:23" ht="18" customHeight="1">
      <c r="A7" s="725"/>
      <c r="B7" s="472" t="s">
        <v>451</v>
      </c>
      <c r="C7" s="730"/>
      <c r="D7" s="79"/>
      <c r="E7" s="594">
        <v>0.5</v>
      </c>
      <c r="F7" s="454"/>
      <c r="G7" s="594">
        <v>0.02</v>
      </c>
      <c r="H7" s="454"/>
      <c r="I7" s="603">
        <f>1-E7-G7</f>
        <v>0.48</v>
      </c>
      <c r="J7" s="547"/>
      <c r="K7" s="566"/>
      <c r="L7" s="594">
        <f>E7*0.04</f>
        <v>0.02</v>
      </c>
      <c r="M7" s="454"/>
      <c r="N7" s="594">
        <v>0.17</v>
      </c>
      <c r="O7" s="454"/>
      <c r="P7" s="493">
        <f>1-L7-N7</f>
        <v>0.8099999999999999</v>
      </c>
      <c r="Q7" s="547"/>
      <c r="R7" s="537">
        <f>L7/(E7*S7)</f>
        <v>0.004705882352941177</v>
      </c>
      <c r="S7" s="481">
        <f>N7/G7</f>
        <v>8.5</v>
      </c>
      <c r="T7" s="487">
        <v>0.4128802458457425</v>
      </c>
      <c r="U7" s="728" t="s">
        <v>602</v>
      </c>
      <c r="V7" s="725"/>
      <c r="W7" s="713"/>
    </row>
    <row r="8" spans="1:23" ht="36" customHeight="1">
      <c r="A8" s="725"/>
      <c r="B8" s="473" t="s">
        <v>452</v>
      </c>
      <c r="C8" s="731"/>
      <c r="D8" s="550"/>
      <c r="E8" s="601">
        <v>0.51</v>
      </c>
      <c r="F8" s="460"/>
      <c r="G8" s="601">
        <v>0.03</v>
      </c>
      <c r="H8" s="460"/>
      <c r="I8" s="603">
        <f>1-E8-G8</f>
        <v>0.45999999999999996</v>
      </c>
      <c r="J8" s="549"/>
      <c r="K8" s="567"/>
      <c r="L8" s="601">
        <f>E8*0.06</f>
        <v>0.0306</v>
      </c>
      <c r="M8" s="460"/>
      <c r="N8" s="601">
        <v>0.21</v>
      </c>
      <c r="O8" s="454"/>
      <c r="P8" s="541">
        <f>1-L8-N8</f>
        <v>0.7594000000000001</v>
      </c>
      <c r="Q8" s="549"/>
      <c r="R8" s="539">
        <f>L8/(E8*S8)</f>
        <v>0.00857142857142857</v>
      </c>
      <c r="S8" s="482">
        <f>N8/G8</f>
        <v>7</v>
      </c>
      <c r="T8" s="489">
        <v>0.07921913266423738</v>
      </c>
      <c r="U8" s="729"/>
      <c r="V8" s="725"/>
      <c r="W8" s="713"/>
    </row>
    <row r="9" spans="1:23" ht="63.75" customHeight="1">
      <c r="A9" s="725"/>
      <c r="B9" s="602" t="s">
        <v>615</v>
      </c>
      <c r="C9" s="475" t="s">
        <v>282</v>
      </c>
      <c r="D9" s="572" t="s">
        <v>449</v>
      </c>
      <c r="E9" s="459">
        <v>0.63</v>
      </c>
      <c r="F9" s="574">
        <f>D10*E9</f>
        <v>109519616.43</v>
      </c>
      <c r="G9" s="459">
        <v>0.005</v>
      </c>
      <c r="H9" s="574">
        <f>D10*G9</f>
        <v>869203.305</v>
      </c>
      <c r="I9" s="540">
        <f>1-E9-G9</f>
        <v>0.365</v>
      </c>
      <c r="J9" s="551"/>
      <c r="K9" s="565"/>
      <c r="L9" s="459">
        <v>0.01</v>
      </c>
      <c r="M9" s="574">
        <f>K10*L9</f>
        <v>3418519.81</v>
      </c>
      <c r="N9" s="459">
        <v>0.02</v>
      </c>
      <c r="O9" s="574">
        <f>K10*N9</f>
        <v>6837039.62</v>
      </c>
      <c r="P9" s="493">
        <f>1-L9-N9</f>
        <v>0.97</v>
      </c>
      <c r="Q9" s="568"/>
      <c r="R9" s="537">
        <f>L9/(E9*S9)</f>
        <v>0.003968253968253968</v>
      </c>
      <c r="S9" s="480">
        <f>N9/G9</f>
        <v>4</v>
      </c>
      <c r="T9" s="488"/>
      <c r="U9" s="468" t="s">
        <v>576</v>
      </c>
      <c r="V9" s="725"/>
      <c r="W9" s="713"/>
    </row>
    <row r="10" spans="1:23" ht="20.25" customHeight="1">
      <c r="A10" s="725"/>
      <c r="B10" s="532"/>
      <c r="C10" s="474"/>
      <c r="D10" s="573">
        <v>173840661</v>
      </c>
      <c r="E10" s="454"/>
      <c r="F10" s="454"/>
      <c r="G10" s="454"/>
      <c r="H10" s="454"/>
      <c r="I10" s="454"/>
      <c r="J10" s="547"/>
      <c r="K10" s="573">
        <v>341851981</v>
      </c>
      <c r="L10" s="454"/>
      <c r="M10" s="454"/>
      <c r="N10" s="454"/>
      <c r="O10" s="454"/>
      <c r="P10" s="454"/>
      <c r="Q10" s="547"/>
      <c r="R10" s="493"/>
      <c r="S10" s="481"/>
      <c r="U10" s="498" t="s">
        <v>575</v>
      </c>
      <c r="V10" s="725"/>
      <c r="W10" s="713"/>
    </row>
    <row r="11" spans="1:23" ht="12" customHeight="1">
      <c r="A11" s="446"/>
      <c r="B11" s="451"/>
      <c r="C11" s="474"/>
      <c r="D11" s="546"/>
      <c r="E11" s="454"/>
      <c r="F11" s="454"/>
      <c r="G11" s="454"/>
      <c r="H11" s="454"/>
      <c r="I11" s="454"/>
      <c r="J11" s="547"/>
      <c r="K11" s="566"/>
      <c r="L11" s="454"/>
      <c r="M11" s="454"/>
      <c r="N11" s="454"/>
      <c r="O11" s="454"/>
      <c r="P11" s="454"/>
      <c r="Q11" s="547"/>
      <c r="R11" s="493"/>
      <c r="S11" s="481"/>
      <c r="U11" s="451"/>
      <c r="V11" s="455"/>
      <c r="W11" s="447"/>
    </row>
    <row r="12" spans="1:23" ht="54" customHeight="1">
      <c r="A12" s="461" t="s">
        <v>423</v>
      </c>
      <c r="B12" s="465" t="s">
        <v>453</v>
      </c>
      <c r="C12" s="464" t="s">
        <v>282</v>
      </c>
      <c r="D12" s="552"/>
      <c r="E12" s="463">
        <v>0.95</v>
      </c>
      <c r="F12" s="463"/>
      <c r="G12" s="463">
        <v>0.05</v>
      </c>
      <c r="H12" s="463"/>
      <c r="I12" s="463"/>
      <c r="J12" s="553"/>
      <c r="K12" s="569"/>
      <c r="L12" s="463">
        <v>0.05</v>
      </c>
      <c r="M12" s="463"/>
      <c r="N12" s="463">
        <v>0.95</v>
      </c>
      <c r="O12" s="463"/>
      <c r="P12" s="463"/>
      <c r="Q12" s="553"/>
      <c r="R12" s="538">
        <f>L12/(E12*S12)</f>
        <v>0.0027700831024930752</v>
      </c>
      <c r="S12" s="483">
        <f aca="true" t="shared" si="0" ref="S12:S17">N12/G12</f>
        <v>18.999999999999996</v>
      </c>
      <c r="T12" s="490"/>
      <c r="U12" s="465" t="s">
        <v>614</v>
      </c>
      <c r="V12" s="470">
        <v>27366894</v>
      </c>
      <c r="W12" s="466">
        <v>2016</v>
      </c>
    </row>
    <row r="13" spans="1:23" ht="54.75" customHeight="1">
      <c r="A13" s="725" t="s">
        <v>423</v>
      </c>
      <c r="B13" s="451" t="s">
        <v>432</v>
      </c>
      <c r="C13" s="456" t="s">
        <v>433</v>
      </c>
      <c r="D13" s="554"/>
      <c r="E13" s="593">
        <v>0.5</v>
      </c>
      <c r="F13" s="454"/>
      <c r="G13" s="454">
        <v>0.011</v>
      </c>
      <c r="H13" s="454"/>
      <c r="I13" s="542">
        <f>1-E13-G13</f>
        <v>0.489</v>
      </c>
      <c r="J13" s="547"/>
      <c r="K13" s="566"/>
      <c r="L13" s="594">
        <v>0.02</v>
      </c>
      <c r="M13" s="454"/>
      <c r="N13" s="454">
        <v>0.061</v>
      </c>
      <c r="O13" s="454"/>
      <c r="P13" s="542">
        <f>1-L13-N13</f>
        <v>0.919</v>
      </c>
      <c r="Q13" s="547"/>
      <c r="R13" s="535">
        <f>L13/(E13*S13)</f>
        <v>0.007213114754098361</v>
      </c>
      <c r="S13" s="595">
        <f t="shared" si="0"/>
        <v>5.545454545454546</v>
      </c>
      <c r="U13" s="465" t="s">
        <v>600</v>
      </c>
      <c r="V13" s="687">
        <v>27237775</v>
      </c>
      <c r="W13" s="726">
        <v>2016</v>
      </c>
    </row>
    <row r="14" spans="1:23" ht="36" customHeight="1">
      <c r="A14" s="725"/>
      <c r="B14" s="451" t="s">
        <v>434</v>
      </c>
      <c r="C14" s="258" t="s">
        <v>282</v>
      </c>
      <c r="D14" s="554">
        <v>25609460</v>
      </c>
      <c r="E14" s="593">
        <v>0.5</v>
      </c>
      <c r="F14" s="258"/>
      <c r="G14" s="458">
        <f>4158/D14</f>
        <v>0.0001623618772125613</v>
      </c>
      <c r="H14" s="458"/>
      <c r="I14" s="542">
        <f>1-E14-G14</f>
        <v>0.4998376381227874</v>
      </c>
      <c r="J14" s="555"/>
      <c r="K14" s="554">
        <v>169981133</v>
      </c>
      <c r="L14" s="594">
        <v>0.05</v>
      </c>
      <c r="M14" s="258"/>
      <c r="N14" s="458">
        <f>350625/K14</f>
        <v>0.0020627289265097437</v>
      </c>
      <c r="O14" s="458"/>
      <c r="P14" s="542">
        <f>1-L14-N14</f>
        <v>0.9479372710734902</v>
      </c>
      <c r="Q14" s="555"/>
      <c r="R14" s="537">
        <f>L14/(E14*S14)</f>
        <v>0.007871217353183045</v>
      </c>
      <c r="S14" s="595">
        <f t="shared" si="0"/>
        <v>12.704515135712896</v>
      </c>
      <c r="U14" s="718" t="s">
        <v>601</v>
      </c>
      <c r="V14" s="687"/>
      <c r="W14" s="726"/>
    </row>
    <row r="15" spans="1:23" ht="35.25" customHeight="1">
      <c r="A15" s="725"/>
      <c r="B15" s="451" t="s">
        <v>435</v>
      </c>
      <c r="C15" s="258" t="s">
        <v>282</v>
      </c>
      <c r="D15" s="554">
        <v>23606476</v>
      </c>
      <c r="E15" s="593">
        <v>0.5</v>
      </c>
      <c r="F15" s="258"/>
      <c r="G15" s="458">
        <f>1682/D15</f>
        <v>7.125163450910674E-05</v>
      </c>
      <c r="H15" s="458"/>
      <c r="I15" s="542">
        <f>1-E15-G15</f>
        <v>0.4999287483654909</v>
      </c>
      <c r="J15" s="555"/>
      <c r="K15" s="554">
        <v>74544475</v>
      </c>
      <c r="L15" s="594">
        <v>0.05</v>
      </c>
      <c r="M15" s="258"/>
      <c r="N15" s="458">
        <f>133680/K15</f>
        <v>0.0017932918569753158</v>
      </c>
      <c r="O15" s="458"/>
      <c r="P15" s="542">
        <f>1-L15-N15</f>
        <v>0.9482067081430247</v>
      </c>
      <c r="Q15" s="555"/>
      <c r="R15" s="537">
        <f>L15/(E15*S15)</f>
        <v>0.003973231363983577</v>
      </c>
      <c r="S15" s="595">
        <f t="shared" si="0"/>
        <v>25.168431143093475</v>
      </c>
      <c r="U15" s="719"/>
      <c r="V15" s="687"/>
      <c r="W15" s="726"/>
    </row>
    <row r="16" spans="1:23" ht="32.25" customHeight="1">
      <c r="A16" s="725"/>
      <c r="B16" s="451" t="s">
        <v>436</v>
      </c>
      <c r="C16" s="258" t="s">
        <v>282</v>
      </c>
      <c r="D16" s="554">
        <v>26949030</v>
      </c>
      <c r="E16" s="593">
        <v>0.5</v>
      </c>
      <c r="F16" s="258"/>
      <c r="G16" s="458">
        <f>1671/D16</f>
        <v>6.200594232890757E-05</v>
      </c>
      <c r="H16" s="458"/>
      <c r="I16" s="542">
        <f>1-E16-G16</f>
        <v>0.4999379940576711</v>
      </c>
      <c r="J16" s="555"/>
      <c r="K16" s="554">
        <v>94522959</v>
      </c>
      <c r="L16" s="594">
        <v>0.05</v>
      </c>
      <c r="M16" s="258"/>
      <c r="N16" s="458">
        <f>497206/K16</f>
        <v>0.005260161184755124</v>
      </c>
      <c r="O16" s="458"/>
      <c r="P16" s="542">
        <f>1-L16-N16</f>
        <v>0.9447398388152448</v>
      </c>
      <c r="Q16" s="555"/>
      <c r="R16" s="539">
        <f>L16/(E16*S16)</f>
        <v>0.001178784074309581</v>
      </c>
      <c r="S16" s="595">
        <f t="shared" si="0"/>
        <v>84.83317867911512</v>
      </c>
      <c r="U16" s="720"/>
      <c r="V16" s="687"/>
      <c r="W16" s="726"/>
    </row>
    <row r="17" spans="1:23" ht="28.5" customHeight="1">
      <c r="A17" s="461" t="s">
        <v>423</v>
      </c>
      <c r="B17" s="465" t="s">
        <v>439</v>
      </c>
      <c r="C17" s="465" t="s">
        <v>440</v>
      </c>
      <c r="D17" s="552">
        <v>4217</v>
      </c>
      <c r="E17" s="462"/>
      <c r="F17" s="462"/>
      <c r="G17" s="467">
        <f>1/D17</f>
        <v>0.00023713540431586437</v>
      </c>
      <c r="H17" s="467"/>
      <c r="I17" s="467"/>
      <c r="J17" s="556"/>
      <c r="K17" s="569">
        <v>8649</v>
      </c>
      <c r="L17" s="462"/>
      <c r="M17" s="462"/>
      <c r="N17" s="467">
        <f>57/K17</f>
        <v>0.0065903572667360385</v>
      </c>
      <c r="O17" s="467"/>
      <c r="P17" s="467"/>
      <c r="Q17" s="556"/>
      <c r="R17" s="494"/>
      <c r="S17" s="483">
        <f t="shared" si="0"/>
        <v>27.791536593825874</v>
      </c>
      <c r="T17" s="490"/>
      <c r="U17" s="462"/>
      <c r="V17" s="478" t="s">
        <v>425</v>
      </c>
      <c r="W17" s="466">
        <v>2017</v>
      </c>
    </row>
    <row r="18" spans="4:23" s="262" customFormat="1" ht="25.5" customHeight="1">
      <c r="D18" s="557"/>
      <c r="E18" s="268"/>
      <c r="F18" s="268"/>
      <c r="G18" s="268"/>
      <c r="H18" s="268"/>
      <c r="I18" s="268"/>
      <c r="J18" s="558"/>
      <c r="K18" s="570"/>
      <c r="L18" s="268"/>
      <c r="M18" s="268"/>
      <c r="N18" s="268"/>
      <c r="O18" s="268"/>
      <c r="P18" s="268"/>
      <c r="Q18" s="558"/>
      <c r="R18" s="496"/>
      <c r="S18" s="496"/>
      <c r="T18" s="497"/>
      <c r="V18" s="495"/>
      <c r="W18" s="495"/>
    </row>
    <row r="19" spans="1:23" ht="72">
      <c r="A19" s="715" t="s">
        <v>446</v>
      </c>
      <c r="B19" s="450" t="s">
        <v>456</v>
      </c>
      <c r="C19" s="721" t="s">
        <v>187</v>
      </c>
      <c r="D19" s="559"/>
      <c r="E19" s="271"/>
      <c r="F19" s="271"/>
      <c r="G19" s="271"/>
      <c r="H19" s="271"/>
      <c r="I19" s="271"/>
      <c r="J19" s="560"/>
      <c r="K19" s="565"/>
      <c r="L19" s="271"/>
      <c r="M19" s="271"/>
      <c r="N19" s="271"/>
      <c r="O19" s="271"/>
      <c r="P19" s="271"/>
      <c r="Q19" s="560"/>
      <c r="R19" s="485"/>
      <c r="S19" s="485"/>
      <c r="T19" s="488"/>
      <c r="U19" s="718" t="s">
        <v>458</v>
      </c>
      <c r="V19" s="710">
        <v>26569458</v>
      </c>
      <c r="W19" s="712">
        <v>2015</v>
      </c>
    </row>
    <row r="20" spans="1:23" ht="12">
      <c r="A20" s="716"/>
      <c r="B20" s="258" t="s">
        <v>442</v>
      </c>
      <c r="C20" s="722"/>
      <c r="D20" s="561"/>
      <c r="E20" s="258">
        <v>1030</v>
      </c>
      <c r="F20" s="258"/>
      <c r="G20" s="258">
        <v>4059</v>
      </c>
      <c r="H20" s="258"/>
      <c r="I20" s="258"/>
      <c r="J20" s="434"/>
      <c r="K20" s="566"/>
      <c r="L20" s="258">
        <v>330</v>
      </c>
      <c r="M20" s="258"/>
      <c r="N20" s="258">
        <v>24052</v>
      </c>
      <c r="O20" s="258"/>
      <c r="P20" s="258"/>
      <c r="Q20" s="434"/>
      <c r="R20" s="280"/>
      <c r="S20" s="486">
        <f>N20/G20</f>
        <v>5.925597437792559</v>
      </c>
      <c r="T20" s="487">
        <v>0.599172985718003</v>
      </c>
      <c r="U20" s="719"/>
      <c r="V20" s="687"/>
      <c r="W20" s="713"/>
    </row>
    <row r="21" spans="1:23" ht="12">
      <c r="A21" s="716"/>
      <c r="B21" s="258" t="s">
        <v>443</v>
      </c>
      <c r="C21" s="722"/>
      <c r="D21" s="561"/>
      <c r="E21" s="258">
        <v>840</v>
      </c>
      <c r="F21" s="258"/>
      <c r="G21" s="258">
        <v>14424</v>
      </c>
      <c r="H21" s="258"/>
      <c r="I21" s="258"/>
      <c r="J21" s="434"/>
      <c r="K21" s="566"/>
      <c r="L21" s="258">
        <v>530</v>
      </c>
      <c r="M21" s="258"/>
      <c r="N21" s="258">
        <v>56671</v>
      </c>
      <c r="O21" s="258"/>
      <c r="P21" s="258"/>
      <c r="Q21" s="434"/>
      <c r="R21" s="280"/>
      <c r="S21" s="486">
        <f>N21/G21</f>
        <v>3.9289378813089297</v>
      </c>
      <c r="T21" s="487">
        <v>0.5279315618452098</v>
      </c>
      <c r="U21" s="719"/>
      <c r="V21" s="687"/>
      <c r="W21" s="713"/>
    </row>
    <row r="22" spans="1:23" ht="12">
      <c r="A22" s="716"/>
      <c r="B22" s="258" t="s">
        <v>444</v>
      </c>
      <c r="C22" s="722"/>
      <c r="D22" s="561"/>
      <c r="E22" s="258">
        <v>710</v>
      </c>
      <c r="F22" s="258"/>
      <c r="G22" s="258">
        <v>76557</v>
      </c>
      <c r="H22" s="258"/>
      <c r="I22" s="258"/>
      <c r="J22" s="434"/>
      <c r="K22" s="566"/>
      <c r="L22" s="258">
        <v>430</v>
      </c>
      <c r="M22" s="258"/>
      <c r="N22" s="258">
        <v>206413</v>
      </c>
      <c r="O22" s="258"/>
      <c r="P22" s="258"/>
      <c r="Q22" s="434"/>
      <c r="R22" s="280"/>
      <c r="S22" s="486">
        <f>N22/G22</f>
        <v>2.696200216831903</v>
      </c>
      <c r="T22" s="487">
        <v>0.3056008175713906</v>
      </c>
      <c r="U22" s="719"/>
      <c r="V22" s="687"/>
      <c r="W22" s="713"/>
    </row>
    <row r="23" spans="1:23" ht="12">
      <c r="A23" s="716"/>
      <c r="B23" s="258" t="s">
        <v>445</v>
      </c>
      <c r="C23" s="722"/>
      <c r="D23" s="561"/>
      <c r="E23" s="258">
        <v>1810</v>
      </c>
      <c r="F23" s="258"/>
      <c r="G23" s="258">
        <v>2259</v>
      </c>
      <c r="H23" s="258"/>
      <c r="I23" s="258"/>
      <c r="J23" s="434"/>
      <c r="K23" s="566"/>
      <c r="L23" s="258">
        <v>570</v>
      </c>
      <c r="M23" s="258"/>
      <c r="N23" s="258">
        <v>41688</v>
      </c>
      <c r="O23" s="258"/>
      <c r="P23" s="258"/>
      <c r="Q23" s="434"/>
      <c r="R23" s="280"/>
      <c r="S23" s="486">
        <f>N23/G23</f>
        <v>18.454183266932272</v>
      </c>
      <c r="T23" s="487">
        <v>0.7315085240224992</v>
      </c>
      <c r="U23" s="719"/>
      <c r="V23" s="687"/>
      <c r="W23" s="713"/>
    </row>
    <row r="24" spans="1:23" ht="12.75" thickBot="1">
      <c r="A24" s="717"/>
      <c r="B24" s="259" t="s">
        <v>441</v>
      </c>
      <c r="C24" s="723"/>
      <c r="D24" s="562"/>
      <c r="E24" s="563">
        <f>(E20+E21+E22+E23)/4</f>
        <v>1097.5</v>
      </c>
      <c r="F24" s="563"/>
      <c r="G24" s="563">
        <f>SUM(G20:G23)/4</f>
        <v>24324.75</v>
      </c>
      <c r="H24" s="563"/>
      <c r="I24" s="563"/>
      <c r="J24" s="564"/>
      <c r="K24" s="571"/>
      <c r="L24" s="563">
        <f>(L20+L21+L22+L23)/4</f>
        <v>465</v>
      </c>
      <c r="M24" s="563"/>
      <c r="N24" s="563">
        <f>SUM(N20:N23)/4</f>
        <v>82206</v>
      </c>
      <c r="O24" s="563"/>
      <c r="P24" s="563"/>
      <c r="Q24" s="564"/>
      <c r="R24" s="536"/>
      <c r="S24" s="491">
        <f>N24/G24</f>
        <v>3.379520858384978</v>
      </c>
      <c r="T24" s="492">
        <f>(T20+T21+T22+T23)/4</f>
        <v>0.5410534722892757</v>
      </c>
      <c r="U24" s="720"/>
      <c r="V24" s="711"/>
      <c r="W24" s="714"/>
    </row>
    <row r="25" ht="12"/>
    <row r="26" ht="12"/>
    <row r="27" ht="12"/>
    <row r="28" ht="12"/>
    <row r="29" spans="1:23" s="576" customFormat="1" ht="12.75" customHeight="1">
      <c r="A29" s="577"/>
      <c r="B29" s="577"/>
      <c r="C29" s="577" t="s">
        <v>437</v>
      </c>
      <c r="D29" s="706" t="s">
        <v>426</v>
      </c>
      <c r="E29" s="706"/>
      <c r="F29" s="706"/>
      <c r="G29" s="706"/>
      <c r="H29" s="706"/>
      <c r="I29" s="578"/>
      <c r="J29" s="578"/>
      <c r="K29" s="706" t="s">
        <v>427</v>
      </c>
      <c r="L29" s="706"/>
      <c r="M29" s="706"/>
      <c r="N29" s="706"/>
      <c r="O29" s="706"/>
      <c r="P29" s="578"/>
      <c r="Q29" s="578"/>
      <c r="R29" s="579" t="s">
        <v>421</v>
      </c>
      <c r="S29" s="580" t="s">
        <v>594</v>
      </c>
      <c r="T29" s="581"/>
      <c r="U29" s="577" t="s">
        <v>342</v>
      </c>
      <c r="V29" s="582" t="s">
        <v>428</v>
      </c>
      <c r="W29" s="577" t="s">
        <v>424</v>
      </c>
    </row>
    <row r="30" spans="1:23" s="506" customFormat="1" ht="22.5" customHeight="1">
      <c r="A30" s="583" t="s">
        <v>419</v>
      </c>
      <c r="B30" s="583" t="s">
        <v>420</v>
      </c>
      <c r="C30" s="583" t="s">
        <v>438</v>
      </c>
      <c r="D30" s="584" t="s">
        <v>577</v>
      </c>
      <c r="E30" s="709" t="s">
        <v>595</v>
      </c>
      <c r="F30" s="709"/>
      <c r="G30" s="709" t="s">
        <v>594</v>
      </c>
      <c r="H30" s="709"/>
      <c r="I30" s="583"/>
      <c r="J30" s="583"/>
      <c r="K30" s="584" t="s">
        <v>577</v>
      </c>
      <c r="L30" s="709" t="s">
        <v>595</v>
      </c>
      <c r="M30" s="709"/>
      <c r="N30" s="709" t="s">
        <v>594</v>
      </c>
      <c r="O30" s="709"/>
      <c r="P30" s="583"/>
      <c r="Q30" s="583"/>
      <c r="R30" s="580" t="s">
        <v>457</v>
      </c>
      <c r="S30" s="580" t="s">
        <v>457</v>
      </c>
      <c r="T30" s="581"/>
      <c r="U30" s="707" t="s">
        <v>597</v>
      </c>
      <c r="V30" s="585">
        <v>24204593</v>
      </c>
      <c r="W30" s="583">
        <v>2013</v>
      </c>
    </row>
    <row r="31" spans="1:23" s="258" customFormat="1" ht="21" customHeight="1">
      <c r="A31" s="390" t="s">
        <v>423</v>
      </c>
      <c r="B31" s="586" t="s">
        <v>596</v>
      </c>
      <c r="C31" s="587" t="s">
        <v>282</v>
      </c>
      <c r="D31" s="588">
        <v>3014397</v>
      </c>
      <c r="E31" s="591">
        <f>1-G31</f>
        <v>0.997</v>
      </c>
      <c r="F31" s="592">
        <f>D31*E31</f>
        <v>3005353.809</v>
      </c>
      <c r="G31" s="589">
        <v>0.003</v>
      </c>
      <c r="H31" s="592">
        <f>D31*G31</f>
        <v>9043.191</v>
      </c>
      <c r="I31" s="390"/>
      <c r="J31" s="390"/>
      <c r="K31" s="588">
        <v>360757</v>
      </c>
      <c r="L31" s="591">
        <f>1-N31</f>
        <v>0.5900000000000001</v>
      </c>
      <c r="M31" s="592">
        <f>L31*K31</f>
        <v>212846.63000000003</v>
      </c>
      <c r="N31" s="589">
        <v>0.41</v>
      </c>
      <c r="O31" s="592">
        <f>K31*N31</f>
        <v>147910.37</v>
      </c>
      <c r="P31" s="390"/>
      <c r="Q31" s="390"/>
      <c r="R31" s="590">
        <f>L31/(E31*S31)</f>
        <v>0.004330063360814151</v>
      </c>
      <c r="S31" s="596">
        <f>N31/G31</f>
        <v>136.66666666666666</v>
      </c>
      <c r="T31" s="581"/>
      <c r="U31" s="708"/>
      <c r="V31" s="585"/>
      <c r="W31" s="585"/>
    </row>
  </sheetData>
  <mergeCells count="31">
    <mergeCell ref="D1:J1"/>
    <mergeCell ref="I2:J2"/>
    <mergeCell ref="K1:Q1"/>
    <mergeCell ref="P2:Q2"/>
    <mergeCell ref="E2:F2"/>
    <mergeCell ref="G2:H2"/>
    <mergeCell ref="L2:M2"/>
    <mergeCell ref="N2:O2"/>
    <mergeCell ref="A3:A10"/>
    <mergeCell ref="V3:V10"/>
    <mergeCell ref="W13:W16"/>
    <mergeCell ref="U3:U5"/>
    <mergeCell ref="W3:W10"/>
    <mergeCell ref="C6:C8"/>
    <mergeCell ref="U7:U8"/>
    <mergeCell ref="A13:A16"/>
    <mergeCell ref="C3:C5"/>
    <mergeCell ref="U14:U16"/>
    <mergeCell ref="W19:W24"/>
    <mergeCell ref="A19:A24"/>
    <mergeCell ref="U19:U24"/>
    <mergeCell ref="C19:C24"/>
    <mergeCell ref="V13:V16"/>
    <mergeCell ref="D29:H29"/>
    <mergeCell ref="K29:O29"/>
    <mergeCell ref="U30:U31"/>
    <mergeCell ref="E30:F30"/>
    <mergeCell ref="G30:H30"/>
    <mergeCell ref="L30:M30"/>
    <mergeCell ref="N30:O30"/>
    <mergeCell ref="V19:V24"/>
  </mergeCells>
  <hyperlinks>
    <hyperlink ref="B9" r:id="rId1" display="Цельная кровь (наверное натощак)"/>
    <hyperlink ref="K10" r:id="rId2" display="https://www.ncbi.nlm.nih.gov/sra/?term=SRR896662"/>
    <hyperlink ref="D10" r:id="rId3" display="link"/>
  </hyperlinks>
  <printOptions/>
  <pageMargins left="0.75" right="0.75" top="1" bottom="1" header="0.5" footer="0.5"/>
  <pageSetup horizontalDpi="600" verticalDpi="600" orientation="portrait" paperSize="9" r:id="rId6"/>
  <legacyDrawing r:id="rId5"/>
</worksheet>
</file>

<file path=xl/worksheets/sheet9.xml><?xml version="1.0" encoding="utf-8"?>
<worksheet xmlns="http://schemas.openxmlformats.org/spreadsheetml/2006/main" xmlns:r="http://schemas.openxmlformats.org/officeDocument/2006/relationships">
  <dimension ref="A1:V97"/>
  <sheetViews>
    <sheetView workbookViewId="0" topLeftCell="D28">
      <selection activeCell="M42" sqref="M42"/>
    </sheetView>
  </sheetViews>
  <sheetFormatPr defaultColWidth="9.00390625" defaultRowHeight="12.75"/>
  <cols>
    <col min="1" max="1" width="24.375" style="236" customWidth="1"/>
    <col min="2" max="2" width="9.00390625" style="352" customWidth="1"/>
    <col min="3" max="3" width="7.75390625" style="236" customWidth="1"/>
    <col min="4" max="4" width="8.25390625" style="236" customWidth="1"/>
    <col min="5" max="5" width="7.50390625" style="236" customWidth="1"/>
    <col min="6" max="6" width="7.375" style="236" customWidth="1"/>
    <col min="7" max="7" width="7.75390625" style="236" customWidth="1"/>
    <col min="8" max="8" width="8.50390625" style="236" customWidth="1"/>
    <col min="9" max="9" width="7.75390625" style="236" customWidth="1"/>
    <col min="10" max="11" width="7.875" style="236" customWidth="1"/>
    <col min="12" max="12" width="7.50390625" style="236" customWidth="1"/>
    <col min="13" max="14" width="7.50390625" style="238" customWidth="1"/>
    <col min="15" max="16" width="7.625" style="236" customWidth="1"/>
    <col min="17" max="17" width="8.50390625" style="236" customWidth="1"/>
    <col min="18" max="18" width="7.50390625" style="236" customWidth="1"/>
    <col min="19" max="19" width="8.375" style="236" customWidth="1"/>
    <col min="20" max="20" width="10.625" style="236" customWidth="1"/>
    <col min="21" max="16384" width="8.875" style="236" customWidth="1"/>
  </cols>
  <sheetData>
    <row r="1" spans="1:14" s="362" customFormat="1" ht="8.25">
      <c r="A1" s="362" t="s">
        <v>297</v>
      </c>
      <c r="B1" s="381"/>
      <c r="M1" s="752" t="s">
        <v>693</v>
      </c>
      <c r="N1" s="752"/>
    </row>
    <row r="2" spans="1:20" s="362" customFormat="1" ht="8.25">
      <c r="A2" s="373" t="s">
        <v>196</v>
      </c>
      <c r="B2" s="374" t="s">
        <v>188</v>
      </c>
      <c r="C2" s="742">
        <v>21976140</v>
      </c>
      <c r="D2" s="744"/>
      <c r="E2" s="753">
        <v>23372728</v>
      </c>
      <c r="F2" s="754"/>
      <c r="G2" s="375">
        <v>26544955</v>
      </c>
      <c r="H2" s="376">
        <v>26865079</v>
      </c>
      <c r="I2" s="742">
        <v>27639192</v>
      </c>
      <c r="J2" s="743"/>
      <c r="K2" s="743"/>
      <c r="L2" s="744"/>
      <c r="M2" s="615">
        <v>28535999</v>
      </c>
      <c r="N2" s="680" t="s">
        <v>681</v>
      </c>
      <c r="O2" s="743">
        <v>25133738</v>
      </c>
      <c r="P2" s="743"/>
      <c r="Q2" s="742">
        <v>27368373</v>
      </c>
      <c r="R2" s="743"/>
      <c r="S2" s="743"/>
      <c r="T2" s="387">
        <v>25076135</v>
      </c>
    </row>
    <row r="3" spans="1:20" s="362" customFormat="1" ht="8.25">
      <c r="A3" s="356" t="s">
        <v>298</v>
      </c>
      <c r="B3" s="357"/>
      <c r="C3" s="745">
        <v>2011</v>
      </c>
      <c r="D3" s="741"/>
      <c r="E3" s="745">
        <v>2013</v>
      </c>
      <c r="F3" s="741"/>
      <c r="G3" s="377">
        <v>2015</v>
      </c>
      <c r="H3" s="360">
        <v>2016</v>
      </c>
      <c r="I3" s="745">
        <v>2016</v>
      </c>
      <c r="J3" s="740"/>
      <c r="K3" s="740"/>
      <c r="L3" s="741"/>
      <c r="M3" s="616">
        <v>2017</v>
      </c>
      <c r="N3" s="669">
        <v>2011</v>
      </c>
      <c r="O3" s="740">
        <v>2014</v>
      </c>
      <c r="P3" s="740"/>
      <c r="Q3" s="745">
        <v>2016</v>
      </c>
      <c r="R3" s="740"/>
      <c r="S3" s="740"/>
      <c r="T3" s="377">
        <v>2014</v>
      </c>
    </row>
    <row r="4" spans="1:20" s="362" customFormat="1" ht="8.25">
      <c r="A4" s="356" t="s">
        <v>294</v>
      </c>
      <c r="B4" s="357"/>
      <c r="C4" s="737" t="s">
        <v>185</v>
      </c>
      <c r="D4" s="739"/>
      <c r="E4" s="737" t="s">
        <v>185</v>
      </c>
      <c r="F4" s="739"/>
      <c r="G4" s="360" t="s">
        <v>185</v>
      </c>
      <c r="H4" s="360" t="s">
        <v>185</v>
      </c>
      <c r="I4" s="737" t="s">
        <v>185</v>
      </c>
      <c r="J4" s="738"/>
      <c r="K4" s="738"/>
      <c r="L4" s="739"/>
      <c r="M4" s="361" t="s">
        <v>185</v>
      </c>
      <c r="N4" s="360" t="s">
        <v>682</v>
      </c>
      <c r="O4" s="740" t="s">
        <v>271</v>
      </c>
      <c r="P4" s="740"/>
      <c r="Q4" s="745" t="s">
        <v>280</v>
      </c>
      <c r="R4" s="740"/>
      <c r="S4" s="740"/>
      <c r="T4" s="377" t="s">
        <v>308</v>
      </c>
    </row>
    <row r="5" spans="1:20" s="362" customFormat="1" ht="8.25">
      <c r="A5" s="356" t="s">
        <v>197</v>
      </c>
      <c r="B5" s="357"/>
      <c r="C5" s="737" t="s">
        <v>186</v>
      </c>
      <c r="D5" s="739"/>
      <c r="E5" s="737" t="s">
        <v>186</v>
      </c>
      <c r="F5" s="739"/>
      <c r="G5" s="360" t="s">
        <v>186</v>
      </c>
      <c r="H5" s="360" t="s">
        <v>186</v>
      </c>
      <c r="I5" s="737" t="s">
        <v>186</v>
      </c>
      <c r="J5" s="738"/>
      <c r="K5" s="738"/>
      <c r="L5" s="739"/>
      <c r="M5" s="361" t="s">
        <v>186</v>
      </c>
      <c r="N5" s="360" t="s">
        <v>186</v>
      </c>
      <c r="O5" s="740" t="s">
        <v>281</v>
      </c>
      <c r="P5" s="740"/>
      <c r="Q5" s="745" t="s">
        <v>283</v>
      </c>
      <c r="R5" s="740"/>
      <c r="S5" s="740"/>
      <c r="T5" s="377" t="s">
        <v>310</v>
      </c>
    </row>
    <row r="6" spans="1:20" s="362" customFormat="1" ht="8.25">
      <c r="A6" s="356" t="s">
        <v>318</v>
      </c>
      <c r="B6" s="357"/>
      <c r="C6" s="737" t="s">
        <v>322</v>
      </c>
      <c r="D6" s="739"/>
      <c r="E6" s="737" t="s">
        <v>322</v>
      </c>
      <c r="F6" s="739"/>
      <c r="G6" s="360" t="s">
        <v>247</v>
      </c>
      <c r="H6" s="360" t="s">
        <v>321</v>
      </c>
      <c r="I6" s="737" t="s">
        <v>319</v>
      </c>
      <c r="J6" s="738"/>
      <c r="K6" s="738" t="s">
        <v>320</v>
      </c>
      <c r="L6" s="739"/>
      <c r="M6" s="361" t="s">
        <v>631</v>
      </c>
      <c r="N6" s="360" t="s">
        <v>319</v>
      </c>
      <c r="O6" s="740" t="s">
        <v>268</v>
      </c>
      <c r="P6" s="741"/>
      <c r="Q6" s="745" t="s">
        <v>268</v>
      </c>
      <c r="R6" s="740"/>
      <c r="S6" s="741"/>
      <c r="T6" s="377"/>
    </row>
    <row r="7" spans="1:20" s="362" customFormat="1" ht="8.25">
      <c r="A7" s="356" t="s">
        <v>309</v>
      </c>
      <c r="B7" s="357"/>
      <c r="C7" s="737" t="s">
        <v>247</v>
      </c>
      <c r="D7" s="739"/>
      <c r="E7" s="737" t="s">
        <v>247</v>
      </c>
      <c r="F7" s="739"/>
      <c r="G7" s="360" t="s">
        <v>247</v>
      </c>
      <c r="H7" s="360" t="s">
        <v>247</v>
      </c>
      <c r="I7" s="737" t="s">
        <v>247</v>
      </c>
      <c r="J7" s="738"/>
      <c r="K7" s="738"/>
      <c r="L7" s="739"/>
      <c r="M7" s="361"/>
      <c r="N7" s="360"/>
      <c r="O7" s="740" t="s">
        <v>247</v>
      </c>
      <c r="P7" s="741"/>
      <c r="Q7" s="745"/>
      <c r="R7" s="740"/>
      <c r="S7" s="740"/>
      <c r="T7" s="388" t="s">
        <v>307</v>
      </c>
    </row>
    <row r="8" spans="1:20" s="362" customFormat="1" ht="8.25">
      <c r="A8" s="356" t="s">
        <v>198</v>
      </c>
      <c r="B8" s="357"/>
      <c r="C8" s="737" t="s">
        <v>187</v>
      </c>
      <c r="D8" s="739"/>
      <c r="E8" s="737" t="s">
        <v>187</v>
      </c>
      <c r="F8" s="739"/>
      <c r="G8" s="360" t="s">
        <v>187</v>
      </c>
      <c r="H8" s="360" t="s">
        <v>187</v>
      </c>
      <c r="I8" s="737" t="s">
        <v>187</v>
      </c>
      <c r="J8" s="738"/>
      <c r="K8" s="738"/>
      <c r="L8" s="739"/>
      <c r="M8" s="361" t="s">
        <v>187</v>
      </c>
      <c r="N8" s="360" t="s">
        <v>187</v>
      </c>
      <c r="O8" s="740" t="s">
        <v>187</v>
      </c>
      <c r="P8" s="740"/>
      <c r="Q8" s="745" t="s">
        <v>282</v>
      </c>
      <c r="R8" s="740"/>
      <c r="S8" s="740"/>
      <c r="T8" s="377" t="s">
        <v>247</v>
      </c>
    </row>
    <row r="9" spans="1:22" s="362" customFormat="1" ht="8.25">
      <c r="A9" s="356" t="s">
        <v>295</v>
      </c>
      <c r="B9" s="357"/>
      <c r="C9" s="737" t="s">
        <v>192</v>
      </c>
      <c r="D9" s="739"/>
      <c r="E9" s="737" t="s">
        <v>192</v>
      </c>
      <c r="F9" s="739"/>
      <c r="G9" s="360" t="s">
        <v>192</v>
      </c>
      <c r="H9" s="360" t="s">
        <v>192</v>
      </c>
      <c r="I9" s="737" t="s">
        <v>192</v>
      </c>
      <c r="J9" s="738"/>
      <c r="K9" s="738"/>
      <c r="L9" s="739"/>
      <c r="M9" s="361" t="s">
        <v>192</v>
      </c>
      <c r="N9" s="360" t="s">
        <v>192</v>
      </c>
      <c r="O9" s="740" t="s">
        <v>192</v>
      </c>
      <c r="P9" s="740"/>
      <c r="Q9" s="750" t="s">
        <v>304</v>
      </c>
      <c r="R9" s="751"/>
      <c r="S9" s="751"/>
      <c r="T9" s="377" t="s">
        <v>192</v>
      </c>
      <c r="U9" s="382"/>
      <c r="V9" s="383"/>
    </row>
    <row r="10" spans="1:20" s="362" customFormat="1" ht="8.25">
      <c r="A10" s="356" t="s">
        <v>239</v>
      </c>
      <c r="B10" s="357"/>
      <c r="C10" s="737"/>
      <c r="D10" s="739"/>
      <c r="E10" s="737"/>
      <c r="F10" s="739"/>
      <c r="G10" s="360" t="s">
        <v>204</v>
      </c>
      <c r="H10" s="360" t="s">
        <v>204</v>
      </c>
      <c r="I10" s="737"/>
      <c r="J10" s="738"/>
      <c r="K10" s="738"/>
      <c r="L10" s="739"/>
      <c r="M10" s="361"/>
      <c r="N10" s="360"/>
      <c r="O10" s="740" t="s">
        <v>204</v>
      </c>
      <c r="P10" s="740"/>
      <c r="Q10" s="745" t="s">
        <v>204</v>
      </c>
      <c r="R10" s="740"/>
      <c r="S10" s="740"/>
      <c r="T10" s="377"/>
    </row>
    <row r="11" spans="1:20" s="362" customFormat="1" ht="8.25">
      <c r="A11" s="367" t="s">
        <v>296</v>
      </c>
      <c r="B11" s="357"/>
      <c r="C11" s="745" t="s">
        <v>224</v>
      </c>
      <c r="D11" s="740"/>
      <c r="E11" s="740"/>
      <c r="F11" s="741"/>
      <c r="G11" s="378"/>
      <c r="H11" s="368"/>
      <c r="I11" s="745"/>
      <c r="J11" s="740"/>
      <c r="K11" s="740"/>
      <c r="L11" s="741"/>
      <c r="M11" s="616"/>
      <c r="N11" s="669"/>
      <c r="O11" s="740"/>
      <c r="P11" s="741"/>
      <c r="Q11" s="745" t="s">
        <v>305</v>
      </c>
      <c r="R11" s="740"/>
      <c r="S11" s="740"/>
      <c r="T11" s="377"/>
    </row>
    <row r="12" spans="1:20" s="362" customFormat="1" ht="33">
      <c r="A12" s="367" t="s">
        <v>235</v>
      </c>
      <c r="B12" s="357"/>
      <c r="C12" s="358" t="s">
        <v>233</v>
      </c>
      <c r="D12" s="359" t="s">
        <v>234</v>
      </c>
      <c r="E12" s="358" t="s">
        <v>237</v>
      </c>
      <c r="F12" s="359" t="s">
        <v>238</v>
      </c>
      <c r="G12" s="358" t="s">
        <v>246</v>
      </c>
      <c r="H12" s="360" t="s">
        <v>240</v>
      </c>
      <c r="I12" s="358" t="s">
        <v>229</v>
      </c>
      <c r="J12" s="361" t="s">
        <v>230</v>
      </c>
      <c r="K12" s="361" t="s">
        <v>231</v>
      </c>
      <c r="L12" s="359" t="s">
        <v>232</v>
      </c>
      <c r="M12" s="361" t="s">
        <v>633</v>
      </c>
      <c r="N12" s="360" t="s">
        <v>683</v>
      </c>
      <c r="O12" s="604" t="s">
        <v>55</v>
      </c>
      <c r="P12" s="359" t="s">
        <v>238</v>
      </c>
      <c r="Q12" s="369" t="s">
        <v>55</v>
      </c>
      <c r="R12" s="370" t="s">
        <v>306</v>
      </c>
      <c r="S12" s="370" t="s">
        <v>606</v>
      </c>
      <c r="T12" s="377" t="s">
        <v>306</v>
      </c>
    </row>
    <row r="13" spans="1:20" s="362" customFormat="1" ht="8.25">
      <c r="A13" s="367" t="s">
        <v>236</v>
      </c>
      <c r="B13" s="357" t="s">
        <v>190</v>
      </c>
      <c r="C13" s="356">
        <v>3149</v>
      </c>
      <c r="D13" s="380">
        <v>131</v>
      </c>
      <c r="E13" s="356">
        <v>3863</v>
      </c>
      <c r="F13" s="380">
        <v>73</v>
      </c>
      <c r="G13" s="377" t="s">
        <v>247</v>
      </c>
      <c r="H13" s="368">
        <v>30</v>
      </c>
      <c r="I13" s="356">
        <v>26</v>
      </c>
      <c r="J13" s="379">
        <v>11</v>
      </c>
      <c r="K13" s="379">
        <v>60</v>
      </c>
      <c r="L13" s="380">
        <v>11</v>
      </c>
      <c r="M13" s="617" t="s">
        <v>632</v>
      </c>
      <c r="N13" s="670">
        <v>50</v>
      </c>
      <c r="O13" s="379">
        <v>40</v>
      </c>
      <c r="P13" s="379">
        <v>80</v>
      </c>
      <c r="Q13" s="356">
        <v>30</v>
      </c>
      <c r="R13" s="379">
        <v>60</v>
      </c>
      <c r="S13" s="379">
        <v>30</v>
      </c>
      <c r="T13" s="378">
        <v>5</v>
      </c>
    </row>
    <row r="14" spans="1:20" s="362" customFormat="1" ht="15.75" customHeight="1">
      <c r="A14" s="367" t="s">
        <v>189</v>
      </c>
      <c r="B14" s="357"/>
      <c r="C14" s="748" t="s">
        <v>191</v>
      </c>
      <c r="D14" s="749"/>
      <c r="E14" s="737" t="s">
        <v>191</v>
      </c>
      <c r="F14" s="739"/>
      <c r="G14" s="378"/>
      <c r="H14" s="368" t="s">
        <v>622</v>
      </c>
      <c r="I14" s="356"/>
      <c r="J14" s="379"/>
      <c r="K14" s="379"/>
      <c r="L14" s="380"/>
      <c r="M14" s="617" t="s">
        <v>634</v>
      </c>
      <c r="N14" s="670" t="s">
        <v>684</v>
      </c>
      <c r="O14" s="740" t="s">
        <v>272</v>
      </c>
      <c r="P14" s="740"/>
      <c r="Q14" s="356"/>
      <c r="R14" s="379"/>
      <c r="S14" s="379"/>
      <c r="T14" s="378"/>
    </row>
    <row r="15" spans="1:20" ht="12">
      <c r="A15" s="239" t="s">
        <v>324</v>
      </c>
      <c r="B15" s="345" t="s">
        <v>325</v>
      </c>
      <c r="C15" s="725">
        <v>121.1</v>
      </c>
      <c r="D15" s="713"/>
      <c r="E15" s="725">
        <v>121.1</v>
      </c>
      <c r="F15" s="713"/>
      <c r="G15" s="251"/>
      <c r="H15" s="251"/>
      <c r="I15" s="239"/>
      <c r="J15" s="258"/>
      <c r="K15" s="258"/>
      <c r="L15" s="240"/>
      <c r="M15" s="287"/>
      <c r="N15" s="288"/>
      <c r="O15" s="258"/>
      <c r="P15" s="258"/>
      <c r="Q15" s="239"/>
      <c r="R15" s="258"/>
      <c r="S15" s="258"/>
      <c r="T15" s="251"/>
    </row>
    <row r="16" spans="1:20" ht="12">
      <c r="A16" s="239"/>
      <c r="B16" s="345" t="s">
        <v>326</v>
      </c>
      <c r="C16" s="746">
        <f>C15*Param3!$C$3/Param3!$C$5</f>
        <v>0.00012109999999999999</v>
      </c>
      <c r="D16" s="747"/>
      <c r="E16" s="746">
        <f>E15*Param3!C3/Param3!C5</f>
        <v>0.00012109999999999999</v>
      </c>
      <c r="F16" s="747"/>
      <c r="G16" s="251"/>
      <c r="H16" s="251"/>
      <c r="I16" s="239"/>
      <c r="J16" s="258"/>
      <c r="K16" s="258"/>
      <c r="L16" s="240"/>
      <c r="M16" s="287"/>
      <c r="N16" s="288"/>
      <c r="O16" s="258"/>
      <c r="P16" s="258"/>
      <c r="Q16" s="239"/>
      <c r="R16" s="258"/>
      <c r="S16" s="258"/>
      <c r="T16" s="251"/>
    </row>
    <row r="17" spans="1:20" ht="12">
      <c r="A17" s="275" t="s">
        <v>323</v>
      </c>
      <c r="B17" s="345" t="s">
        <v>325</v>
      </c>
      <c r="C17" s="239">
        <v>0.13</v>
      </c>
      <c r="D17" s="240">
        <v>0.15</v>
      </c>
      <c r="E17" s="243"/>
      <c r="F17" s="244"/>
      <c r="G17" s="251"/>
      <c r="H17" s="251"/>
      <c r="I17" s="239"/>
      <c r="J17" s="258"/>
      <c r="K17" s="258"/>
      <c r="L17" s="240"/>
      <c r="M17" s="287"/>
      <c r="N17" s="288"/>
      <c r="O17" s="258"/>
      <c r="P17" s="258"/>
      <c r="Q17" s="239"/>
      <c r="R17" s="258"/>
      <c r="S17" s="258"/>
      <c r="T17" s="251"/>
    </row>
    <row r="18" spans="1:20" ht="11.25" customHeight="1">
      <c r="A18" s="291"/>
      <c r="B18" s="345" t="s">
        <v>326</v>
      </c>
      <c r="C18" s="247">
        <f>C17*Param3!$C$3/Param3!$C$5</f>
        <v>1.3000000000000003E-07</v>
      </c>
      <c r="D18" s="248">
        <f>D17*Param3!$C$3/Param3!$C$5</f>
        <v>1.5E-07</v>
      </c>
      <c r="E18" s="282"/>
      <c r="F18" s="246"/>
      <c r="G18" s="251"/>
      <c r="H18" s="257"/>
      <c r="I18" s="239"/>
      <c r="J18" s="258"/>
      <c r="K18" s="258"/>
      <c r="L18" s="240"/>
      <c r="M18" s="287"/>
      <c r="N18" s="288"/>
      <c r="O18" s="258"/>
      <c r="P18" s="258"/>
      <c r="Q18" s="239"/>
      <c r="R18" s="258"/>
      <c r="S18" s="258"/>
      <c r="T18" s="251"/>
    </row>
    <row r="19" spans="1:20" ht="12">
      <c r="A19" s="239"/>
      <c r="B19" s="345" t="s">
        <v>327</v>
      </c>
      <c r="C19" s="245">
        <f>C18/Param3!$C$16</f>
        <v>150557061126.16684</v>
      </c>
      <c r="D19" s="246">
        <f>D18/Param3!$C$16</f>
        <v>173719685914.80786</v>
      </c>
      <c r="E19" s="245"/>
      <c r="F19" s="246"/>
      <c r="G19" s="251"/>
      <c r="H19" s="251"/>
      <c r="I19" s="239"/>
      <c r="J19" s="258"/>
      <c r="K19" s="258"/>
      <c r="L19" s="240"/>
      <c r="M19" s="287"/>
      <c r="N19" s="288"/>
      <c r="O19" s="258"/>
      <c r="P19" s="258"/>
      <c r="Q19" s="239"/>
      <c r="R19" s="258"/>
      <c r="S19" s="258"/>
      <c r="T19" s="251"/>
    </row>
    <row r="20" spans="1:20" ht="12">
      <c r="A20" s="239" t="s">
        <v>299</v>
      </c>
      <c r="B20" s="345"/>
      <c r="C20" s="239">
        <v>-2.72</v>
      </c>
      <c r="D20" s="240">
        <v>-2.53</v>
      </c>
      <c r="E20" s="245"/>
      <c r="F20" s="246"/>
      <c r="G20" s="251"/>
      <c r="H20" s="251"/>
      <c r="I20" s="239"/>
      <c r="J20" s="258"/>
      <c r="K20" s="258"/>
      <c r="L20" s="240"/>
      <c r="M20" s="287"/>
      <c r="N20" s="288"/>
      <c r="O20" s="258"/>
      <c r="P20" s="258"/>
      <c r="Q20" s="239"/>
      <c r="R20" s="258"/>
      <c r="S20" s="258"/>
      <c r="T20" s="251"/>
    </row>
    <row r="21" spans="1:20" s="262" customFormat="1" ht="10.5" customHeight="1">
      <c r="A21" s="263"/>
      <c r="B21" s="346"/>
      <c r="C21" s="263"/>
      <c r="D21" s="264"/>
      <c r="E21" s="265"/>
      <c r="F21" s="266"/>
      <c r="G21" s="267"/>
      <c r="H21" s="267"/>
      <c r="I21" s="263"/>
      <c r="J21" s="268"/>
      <c r="K21" s="268"/>
      <c r="L21" s="264"/>
      <c r="M21" s="268"/>
      <c r="N21" s="267"/>
      <c r="O21" s="268"/>
      <c r="P21" s="268"/>
      <c r="Q21" s="263"/>
      <c r="R21" s="268"/>
      <c r="S21" s="268"/>
      <c r="T21" s="267"/>
    </row>
    <row r="22" spans="1:20" ht="12">
      <c r="A22" s="275" t="s">
        <v>300</v>
      </c>
      <c r="B22" s="345" t="s">
        <v>325</v>
      </c>
      <c r="C22" s="239"/>
      <c r="D22" s="240"/>
      <c r="E22" s="239">
        <v>0.07</v>
      </c>
      <c r="F22" s="240">
        <v>0.05</v>
      </c>
      <c r="G22" s="251"/>
      <c r="H22" s="251"/>
      <c r="I22" s="239"/>
      <c r="J22" s="258"/>
      <c r="K22" s="258"/>
      <c r="L22" s="240"/>
      <c r="M22" s="287"/>
      <c r="N22" s="288"/>
      <c r="O22" s="258"/>
      <c r="P22" s="258"/>
      <c r="Q22" s="239"/>
      <c r="R22" s="258"/>
      <c r="S22" s="258"/>
      <c r="T22" s="251"/>
    </row>
    <row r="23" spans="1:20" ht="12">
      <c r="A23" s="363" t="s">
        <v>213</v>
      </c>
      <c r="B23" s="345" t="s">
        <v>328</v>
      </c>
      <c r="C23" s="239"/>
      <c r="D23" s="240"/>
      <c r="E23" s="247">
        <f>E22*Param3!$C$3/Param3!$C$5</f>
        <v>7.000000000000002E-08</v>
      </c>
      <c r="F23" s="248">
        <f>F22*Param3!$C$3/Param3!$C$5</f>
        <v>5.0000000000000004E-08</v>
      </c>
      <c r="G23" s="251"/>
      <c r="H23" s="251"/>
      <c r="I23" s="239"/>
      <c r="J23" s="258"/>
      <c r="K23" s="258"/>
      <c r="L23" s="240"/>
      <c r="M23" s="287"/>
      <c r="N23" s="288"/>
      <c r="O23" s="258"/>
      <c r="P23" s="258"/>
      <c r="Q23" s="239"/>
      <c r="R23" s="258"/>
      <c r="S23" s="258"/>
      <c r="T23" s="251"/>
    </row>
    <row r="24" spans="1:20" ht="12">
      <c r="A24" s="239"/>
      <c r="B24" s="345" t="s">
        <v>327</v>
      </c>
      <c r="C24" s="239"/>
      <c r="D24" s="240"/>
      <c r="E24" s="245">
        <f>E23/Param3!$C$16</f>
        <v>81069186760.24368</v>
      </c>
      <c r="F24" s="246">
        <f>F23/Param3!$C$16</f>
        <v>57906561971.60262</v>
      </c>
      <c r="G24" s="251"/>
      <c r="H24" s="251"/>
      <c r="I24" s="239"/>
      <c r="J24" s="258"/>
      <c r="K24" s="258"/>
      <c r="L24" s="240"/>
      <c r="M24" s="287"/>
      <c r="N24" s="288"/>
      <c r="O24" s="258"/>
      <c r="P24" s="258"/>
      <c r="Q24" s="239"/>
      <c r="R24" s="258"/>
      <c r="S24" s="258"/>
      <c r="T24" s="251"/>
    </row>
    <row r="25" spans="1:20" ht="12">
      <c r="A25" s="239"/>
      <c r="B25" s="345"/>
      <c r="C25" s="239"/>
      <c r="D25" s="240"/>
      <c r="E25" s="245"/>
      <c r="F25" s="249"/>
      <c r="G25" s="251"/>
      <c r="H25" s="251"/>
      <c r="I25" s="239"/>
      <c r="J25" s="258"/>
      <c r="K25" s="258"/>
      <c r="L25" s="240"/>
      <c r="M25" s="287"/>
      <c r="N25" s="288"/>
      <c r="O25" s="258"/>
      <c r="P25" s="258"/>
      <c r="Q25" s="239"/>
      <c r="R25" s="258"/>
      <c r="S25" s="258"/>
      <c r="T25" s="251"/>
    </row>
    <row r="26" spans="1:20" ht="22.5">
      <c r="A26" s="275" t="s">
        <v>301</v>
      </c>
      <c r="B26" s="345" t="s">
        <v>325</v>
      </c>
      <c r="C26" s="239"/>
      <c r="D26" s="240"/>
      <c r="E26" s="239">
        <v>0.2</v>
      </c>
      <c r="F26" s="240">
        <v>0.22</v>
      </c>
      <c r="G26" s="251"/>
      <c r="H26" s="251"/>
      <c r="I26" s="239"/>
      <c r="J26" s="258"/>
      <c r="K26" s="258"/>
      <c r="L26" s="240"/>
      <c r="M26" s="287"/>
      <c r="N26" s="288"/>
      <c r="O26" s="258"/>
      <c r="P26" s="258"/>
      <c r="Q26" s="239"/>
      <c r="R26" s="258"/>
      <c r="S26" s="258"/>
      <c r="T26" s="251"/>
    </row>
    <row r="27" spans="1:20" ht="12">
      <c r="A27" s="239"/>
      <c r="B27" s="345" t="s">
        <v>326</v>
      </c>
      <c r="C27" s="239"/>
      <c r="D27" s="240"/>
      <c r="E27" s="247">
        <f>E26*Param3!$C$3/Param3!$C$5</f>
        <v>2.0000000000000002E-07</v>
      </c>
      <c r="F27" s="248">
        <f>F26*Param3!$C$3/Param3!$C$5</f>
        <v>2.2E-07</v>
      </c>
      <c r="G27" s="251"/>
      <c r="H27" s="251"/>
      <c r="I27" s="239"/>
      <c r="J27" s="258"/>
      <c r="K27" s="258"/>
      <c r="L27" s="240"/>
      <c r="M27" s="287"/>
      <c r="N27" s="288"/>
      <c r="O27" s="258"/>
      <c r="P27" s="258"/>
      <c r="Q27" s="239"/>
      <c r="R27" s="258"/>
      <c r="S27" s="258"/>
      <c r="T27" s="251"/>
    </row>
    <row r="28" spans="1:20" ht="12">
      <c r="A28" s="239"/>
      <c r="B28" s="345" t="s">
        <v>327</v>
      </c>
      <c r="C28" s="239"/>
      <c r="D28" s="240"/>
      <c r="E28" s="245">
        <f>E27/Param3!$C$16</f>
        <v>231626247886.4105</v>
      </c>
      <c r="F28" s="246">
        <f>F27/Param3!$C$16</f>
        <v>254788872675.05154</v>
      </c>
      <c r="G28" s="251"/>
      <c r="H28" s="251"/>
      <c r="I28" s="239"/>
      <c r="J28" s="258"/>
      <c r="K28" s="258"/>
      <c r="L28" s="240"/>
      <c r="M28" s="287"/>
      <c r="N28" s="288"/>
      <c r="O28" s="258"/>
      <c r="P28" s="258"/>
      <c r="Q28" s="239"/>
      <c r="R28" s="258"/>
      <c r="S28" s="258"/>
      <c r="T28" s="251"/>
    </row>
    <row r="29" spans="1:20" s="262" customFormat="1" ht="12">
      <c r="A29" s="263"/>
      <c r="B29" s="346"/>
      <c r="C29" s="263"/>
      <c r="D29" s="264"/>
      <c r="E29" s="263"/>
      <c r="F29" s="264"/>
      <c r="G29" s="267"/>
      <c r="H29" s="267"/>
      <c r="I29" s="263"/>
      <c r="J29" s="268"/>
      <c r="K29" s="268"/>
      <c r="L29" s="264"/>
      <c r="M29" s="268"/>
      <c r="N29" s="267"/>
      <c r="O29" s="268"/>
      <c r="P29" s="268"/>
      <c r="Q29" s="263"/>
      <c r="R29" s="268"/>
      <c r="S29" s="268"/>
      <c r="T29" s="267"/>
    </row>
    <row r="30" spans="1:20" s="238" customFormat="1" ht="12">
      <c r="A30" s="243" t="s">
        <v>264</v>
      </c>
      <c r="B30" s="347" t="s">
        <v>248</v>
      </c>
      <c r="C30" s="243"/>
      <c r="D30" s="244"/>
      <c r="E30" s="243"/>
      <c r="F30" s="244"/>
      <c r="G30" s="288">
        <v>50</v>
      </c>
      <c r="H30" s="243"/>
      <c r="I30" s="243"/>
      <c r="J30" s="287"/>
      <c r="K30" s="287"/>
      <c r="L30" s="244"/>
      <c r="M30" s="287"/>
      <c r="N30" s="288"/>
      <c r="O30" s="287"/>
      <c r="P30" s="287"/>
      <c r="Q30" s="243"/>
      <c r="R30" s="287"/>
      <c r="S30" s="287"/>
      <c r="T30" s="288"/>
    </row>
    <row r="31" spans="1:20" s="238" customFormat="1" ht="12">
      <c r="A31" s="243" t="s">
        <v>302</v>
      </c>
      <c r="B31" s="348" t="s">
        <v>241</v>
      </c>
      <c r="C31" s="243"/>
      <c r="D31" s="244"/>
      <c r="E31" s="243"/>
      <c r="F31" s="244"/>
      <c r="G31" s="288">
        <f>14*10/G30</f>
        <v>2.8</v>
      </c>
      <c r="H31" s="243"/>
      <c r="I31" s="243"/>
      <c r="J31" s="287"/>
      <c r="K31" s="287"/>
      <c r="L31" s="244"/>
      <c r="M31" s="287"/>
      <c r="N31" s="288"/>
      <c r="O31" s="287"/>
      <c r="P31" s="287"/>
      <c r="Q31" s="243"/>
      <c r="R31" s="287"/>
      <c r="S31" s="287"/>
      <c r="T31" s="288"/>
    </row>
    <row r="32" spans="1:20" s="238" customFormat="1" ht="12">
      <c r="A32" s="243" t="s">
        <v>244</v>
      </c>
      <c r="B32" s="347" t="s">
        <v>241</v>
      </c>
      <c r="C32" s="243"/>
      <c r="D32" s="244"/>
      <c r="E32" s="243"/>
      <c r="F32" s="244"/>
      <c r="G32" s="289">
        <f>14*10000000/G30</f>
        <v>2800000</v>
      </c>
      <c r="H32" s="243"/>
      <c r="I32" s="243"/>
      <c r="J32" s="287"/>
      <c r="K32" s="287"/>
      <c r="L32" s="244"/>
      <c r="M32" s="287"/>
      <c r="N32" s="288"/>
      <c r="O32" s="287"/>
      <c r="P32" s="287"/>
      <c r="Q32" s="243"/>
      <c r="R32" s="287"/>
      <c r="S32" s="287"/>
      <c r="T32" s="288"/>
    </row>
    <row r="33" spans="1:20" s="238" customFormat="1" ht="22.5">
      <c r="A33" s="275" t="s">
        <v>266</v>
      </c>
      <c r="B33" s="347" t="s">
        <v>241</v>
      </c>
      <c r="C33" s="243"/>
      <c r="D33" s="244"/>
      <c r="E33" s="243"/>
      <c r="F33" s="244"/>
      <c r="G33" s="288">
        <f>14*1000/G30</f>
        <v>280</v>
      </c>
      <c r="H33" s="243"/>
      <c r="I33" s="243"/>
      <c r="J33" s="287"/>
      <c r="K33" s="287"/>
      <c r="L33" s="244"/>
      <c r="M33" s="287"/>
      <c r="N33" s="288"/>
      <c r="O33" s="287"/>
      <c r="P33" s="287"/>
      <c r="Q33" s="243"/>
      <c r="R33" s="287"/>
      <c r="S33" s="287"/>
      <c r="T33" s="288"/>
    </row>
    <row r="34" spans="1:20" s="238" customFormat="1" ht="12">
      <c r="A34" s="275"/>
      <c r="B34" s="347" t="s">
        <v>30</v>
      </c>
      <c r="C34" s="243"/>
      <c r="D34" s="244"/>
      <c r="E34" s="243"/>
      <c r="F34" s="244"/>
      <c r="G34" s="290">
        <f>G33/Param3!C5</f>
        <v>280000</v>
      </c>
      <c r="H34" s="243"/>
      <c r="I34" s="243"/>
      <c r="J34" s="287"/>
      <c r="K34" s="287"/>
      <c r="L34" s="244"/>
      <c r="M34" s="287"/>
      <c r="N34" s="288"/>
      <c r="O34" s="287"/>
      <c r="P34" s="287"/>
      <c r="Q34" s="243"/>
      <c r="R34" s="287"/>
      <c r="S34" s="287"/>
      <c r="T34" s="288"/>
    </row>
    <row r="35" spans="1:20" s="238" customFormat="1" ht="22.5">
      <c r="A35" s="275" t="s">
        <v>265</v>
      </c>
      <c r="B35" s="347" t="s">
        <v>32</v>
      </c>
      <c r="C35" s="243"/>
      <c r="D35" s="244"/>
      <c r="E35" s="243"/>
      <c r="F35" s="244"/>
      <c r="G35" s="319">
        <f>G34*G30/1000</f>
        <v>14000</v>
      </c>
      <c r="H35" s="243"/>
      <c r="I35" s="243"/>
      <c r="J35" s="287"/>
      <c r="K35" s="287"/>
      <c r="L35" s="244"/>
      <c r="M35" s="287"/>
      <c r="N35" s="288"/>
      <c r="O35" s="287"/>
      <c r="P35" s="287"/>
      <c r="Q35" s="243"/>
      <c r="R35" s="287"/>
      <c r="S35" s="287"/>
      <c r="T35" s="288"/>
    </row>
    <row r="36" spans="1:20" s="238" customFormat="1" ht="12">
      <c r="A36" s="275"/>
      <c r="B36" s="347"/>
      <c r="C36" s="243"/>
      <c r="D36" s="244"/>
      <c r="E36" s="243"/>
      <c r="F36" s="244"/>
      <c r="G36" s="290"/>
      <c r="H36" s="243"/>
      <c r="I36" s="243"/>
      <c r="J36" s="287"/>
      <c r="K36" s="287"/>
      <c r="L36" s="244"/>
      <c r="M36" s="287"/>
      <c r="N36" s="288"/>
      <c r="O36" s="287"/>
      <c r="P36" s="287"/>
      <c r="Q36" s="243"/>
      <c r="R36" s="287"/>
      <c r="S36" s="287"/>
      <c r="T36" s="288"/>
    </row>
    <row r="37" spans="1:20" s="238" customFormat="1" ht="12">
      <c r="A37" s="275" t="s">
        <v>303</v>
      </c>
      <c r="B37" s="347"/>
      <c r="C37" s="243"/>
      <c r="D37" s="244"/>
      <c r="E37" s="243"/>
      <c r="F37" s="244"/>
      <c r="G37" s="289" t="s">
        <v>245</v>
      </c>
      <c r="H37" s="243"/>
      <c r="I37" s="243"/>
      <c r="J37" s="287"/>
      <c r="K37" s="287"/>
      <c r="L37" s="244"/>
      <c r="M37" s="287"/>
      <c r="N37" s="288"/>
      <c r="O37" s="287"/>
      <c r="P37" s="287"/>
      <c r="Q37" s="243"/>
      <c r="R37" s="287"/>
      <c r="S37" s="287"/>
      <c r="T37" s="288"/>
    </row>
    <row r="38" spans="1:20" s="238" customFormat="1" ht="12">
      <c r="A38" s="275" t="s">
        <v>242</v>
      </c>
      <c r="B38" s="347"/>
      <c r="C38" s="243"/>
      <c r="D38" s="244"/>
      <c r="E38" s="243"/>
      <c r="F38" s="244"/>
      <c r="G38" s="289" t="s">
        <v>245</v>
      </c>
      <c r="H38" s="243"/>
      <c r="I38" s="243"/>
      <c r="J38" s="287"/>
      <c r="K38" s="287"/>
      <c r="L38" s="244"/>
      <c r="M38" s="287"/>
      <c r="N38" s="288"/>
      <c r="O38" s="287"/>
      <c r="P38" s="287"/>
      <c r="Q38" s="243"/>
      <c r="R38" s="287"/>
      <c r="S38" s="287"/>
      <c r="T38" s="288"/>
    </row>
    <row r="39" spans="1:20" s="238" customFormat="1" ht="12">
      <c r="A39" s="243"/>
      <c r="B39" s="347"/>
      <c r="C39" s="243"/>
      <c r="D39" s="244"/>
      <c r="E39" s="243"/>
      <c r="F39" s="244"/>
      <c r="G39" s="288"/>
      <c r="H39" s="243"/>
      <c r="I39" s="243"/>
      <c r="J39" s="287"/>
      <c r="K39" s="287"/>
      <c r="L39" s="244"/>
      <c r="M39" s="287"/>
      <c r="N39" s="288"/>
      <c r="O39" s="287"/>
      <c r="P39" s="287"/>
      <c r="Q39" s="243"/>
      <c r="R39" s="287"/>
      <c r="S39" s="287"/>
      <c r="T39" s="288"/>
    </row>
    <row r="40" spans="1:20" s="262" customFormat="1" ht="12">
      <c r="A40" s="263"/>
      <c r="B40" s="346"/>
      <c r="C40" s="263"/>
      <c r="D40" s="264"/>
      <c r="E40" s="263"/>
      <c r="F40" s="264"/>
      <c r="G40" s="267"/>
      <c r="H40" s="263"/>
      <c r="I40" s="263"/>
      <c r="J40" s="268"/>
      <c r="K40" s="268"/>
      <c r="L40" s="264"/>
      <c r="M40" s="268"/>
      <c r="N40" s="267"/>
      <c r="O40" s="268"/>
      <c r="P40" s="268"/>
      <c r="Q40" s="263"/>
      <c r="R40" s="268"/>
      <c r="S40" s="268"/>
      <c r="T40" s="267"/>
    </row>
    <row r="41" spans="1:20" s="611" customFormat="1" ht="12">
      <c r="A41" s="297" t="s">
        <v>253</v>
      </c>
      <c r="B41" s="349" t="s">
        <v>248</v>
      </c>
      <c r="C41" s="299"/>
      <c r="D41" s="298"/>
      <c r="E41" s="299"/>
      <c r="F41" s="298"/>
      <c r="G41" s="300"/>
      <c r="H41" s="300">
        <v>200</v>
      </c>
      <c r="I41" s="299"/>
      <c r="L41" s="298"/>
      <c r="M41" s="611">
        <v>200</v>
      </c>
      <c r="N41" s="300"/>
      <c r="Q41" s="299"/>
      <c r="T41" s="300"/>
    </row>
    <row r="42" spans="1:20" s="258" customFormat="1" ht="23.25" customHeight="1">
      <c r="A42" s="275" t="s">
        <v>199</v>
      </c>
      <c r="B42" s="292" t="s">
        <v>258</v>
      </c>
      <c r="C42" s="239"/>
      <c r="D42" s="240"/>
      <c r="E42" s="239"/>
      <c r="F42" s="240"/>
      <c r="G42" s="251"/>
      <c r="H42" s="285">
        <v>42000000</v>
      </c>
      <c r="I42" s="245"/>
      <c r="J42" s="282"/>
      <c r="K42" s="282">
        <f>K80*1000</f>
        <v>2400</v>
      </c>
      <c r="L42" s="246">
        <f>L80*1000</f>
        <v>3100</v>
      </c>
      <c r="M42" s="663">
        <v>17400000</v>
      </c>
      <c r="N42" s="289"/>
      <c r="O42" s="664"/>
      <c r="Q42" s="239"/>
      <c r="T42" s="251"/>
    </row>
    <row r="43" spans="1:20" s="258" customFormat="1" ht="23.25" customHeight="1">
      <c r="A43" s="275" t="s">
        <v>686</v>
      </c>
      <c r="B43" s="292" t="s">
        <v>258</v>
      </c>
      <c r="C43" s="239"/>
      <c r="D43" s="240"/>
      <c r="E43" s="239"/>
      <c r="F43" s="240"/>
      <c r="G43" s="251"/>
      <c r="H43" s="306">
        <f>H42/Param3!C14</f>
        <v>6000000</v>
      </c>
      <c r="I43" s="245"/>
      <c r="J43" s="282"/>
      <c r="K43" s="282"/>
      <c r="L43" s="246"/>
      <c r="M43" s="282">
        <f>M42/Param3!C14</f>
        <v>2485714.285714286</v>
      </c>
      <c r="N43" s="289"/>
      <c r="O43" s="664"/>
      <c r="Q43" s="239"/>
      <c r="T43" s="251"/>
    </row>
    <row r="44" spans="1:20" s="258" customFormat="1" ht="23.25" customHeight="1">
      <c r="A44" s="275" t="s">
        <v>687</v>
      </c>
      <c r="B44" s="292" t="s">
        <v>685</v>
      </c>
      <c r="C44" s="239"/>
      <c r="D44" s="240"/>
      <c r="E44" s="239"/>
      <c r="F44" s="240"/>
      <c r="G44" s="251"/>
      <c r="H44" s="306">
        <f>H43*Param3!C11</f>
        <v>3.0059106269400006E-08</v>
      </c>
      <c r="I44" s="677"/>
      <c r="J44" s="282"/>
      <c r="K44" s="282"/>
      <c r="L44" s="246"/>
      <c r="M44" s="282">
        <f>M43*Param3!C11</f>
        <v>1.2453058311608574E-08</v>
      </c>
      <c r="N44" s="290">
        <f>'genotek-Oragene'!F65</f>
        <v>1.0862464079484621E-08</v>
      </c>
      <c r="O44" s="664"/>
      <c r="Q44" s="239"/>
      <c r="T44" s="251"/>
    </row>
    <row r="45" spans="1:20" s="259" customFormat="1" ht="15.75" customHeight="1">
      <c r="A45" s="672" t="s">
        <v>287</v>
      </c>
      <c r="B45" s="672" t="s">
        <v>32</v>
      </c>
      <c r="C45" s="241"/>
      <c r="D45" s="242"/>
      <c r="E45" s="241"/>
      <c r="F45" s="242"/>
      <c r="G45" s="252"/>
      <c r="H45" s="673">
        <f>H42*H41/1000</f>
        <v>8400000</v>
      </c>
      <c r="I45" s="612"/>
      <c r="J45" s="613"/>
      <c r="K45" s="613"/>
      <c r="L45" s="614"/>
      <c r="M45" s="674"/>
      <c r="N45" s="675"/>
      <c r="O45" s="676"/>
      <c r="Q45" s="241"/>
      <c r="T45" s="252"/>
    </row>
    <row r="46" spans="1:20" ht="12">
      <c r="A46" s="275"/>
      <c r="B46" s="292"/>
      <c r="C46" s="239"/>
      <c r="D46" s="240"/>
      <c r="E46" s="239"/>
      <c r="F46" s="240"/>
      <c r="G46" s="251"/>
      <c r="H46" s="284"/>
      <c r="I46" s="245"/>
      <c r="J46" s="282"/>
      <c r="K46" s="282"/>
      <c r="L46" s="246"/>
      <c r="M46" s="282"/>
      <c r="N46" s="290"/>
      <c r="O46" s="258"/>
      <c r="P46" s="258"/>
      <c r="Q46" s="239"/>
      <c r="R46" s="258"/>
      <c r="S46" s="258"/>
      <c r="T46" s="251"/>
    </row>
    <row r="47" spans="1:20" ht="12">
      <c r="A47" s="297" t="s">
        <v>254</v>
      </c>
      <c r="B47" s="303" t="s">
        <v>248</v>
      </c>
      <c r="C47" s="270"/>
      <c r="D47" s="272"/>
      <c r="E47" s="270"/>
      <c r="F47" s="272"/>
      <c r="G47" s="304"/>
      <c r="H47" s="300">
        <v>100</v>
      </c>
      <c r="I47" s="245"/>
      <c r="J47" s="282"/>
      <c r="K47" s="282"/>
      <c r="L47" s="246"/>
      <c r="M47" s="282"/>
      <c r="N47" s="290"/>
      <c r="O47" s="258"/>
      <c r="P47" s="258"/>
      <c r="Q47" s="239"/>
      <c r="R47" s="258"/>
      <c r="S47" s="258"/>
      <c r="T47" s="251"/>
    </row>
    <row r="48" spans="1:20" ht="22.5">
      <c r="A48" s="275" t="s">
        <v>256</v>
      </c>
      <c r="B48" s="292"/>
      <c r="C48" s="239"/>
      <c r="D48" s="240"/>
      <c r="E48" s="239"/>
      <c r="F48" s="240"/>
      <c r="G48" s="251"/>
      <c r="H48" s="305">
        <f>Param3!C33</f>
        <v>0.01</v>
      </c>
      <c r="I48" s="245"/>
      <c r="J48" s="282"/>
      <c r="K48" s="282"/>
      <c r="L48" s="246"/>
      <c r="M48" s="282"/>
      <c r="N48" s="290"/>
      <c r="O48" s="258"/>
      <c r="P48" s="258"/>
      <c r="Q48" s="239"/>
      <c r="R48" s="258"/>
      <c r="S48" s="258"/>
      <c r="T48" s="251"/>
    </row>
    <row r="49" spans="1:20" ht="21.75" customHeight="1">
      <c r="A49" s="275" t="s">
        <v>206</v>
      </c>
      <c r="B49" s="292" t="s">
        <v>258</v>
      </c>
      <c r="C49" s="239"/>
      <c r="D49" s="240"/>
      <c r="E49" s="239"/>
      <c r="F49" s="240"/>
      <c r="G49" s="251"/>
      <c r="H49" s="285">
        <v>41900000</v>
      </c>
      <c r="I49" s="239"/>
      <c r="J49" s="258"/>
      <c r="K49" s="258"/>
      <c r="L49" s="240"/>
      <c r="M49" s="287"/>
      <c r="N49" s="288"/>
      <c r="O49" s="258"/>
      <c r="P49" s="258"/>
      <c r="Q49" s="239"/>
      <c r="R49" s="258"/>
      <c r="S49" s="258"/>
      <c r="T49" s="251"/>
    </row>
    <row r="50" spans="1:20" ht="11.25" customHeight="1">
      <c r="A50" s="275"/>
      <c r="B50" s="292" t="s">
        <v>255</v>
      </c>
      <c r="C50" s="239"/>
      <c r="D50" s="240"/>
      <c r="E50" s="239"/>
      <c r="F50" s="240"/>
      <c r="G50" s="251"/>
      <c r="H50" s="371">
        <f>H49/H48</f>
        <v>4190000000</v>
      </c>
      <c r="I50" s="372">
        <f>I77/Param3!$C5</f>
        <v>239300</v>
      </c>
      <c r="J50" s="283">
        <f>J77/Param3!$C5</f>
        <v>652600</v>
      </c>
      <c r="K50" s="258"/>
      <c r="L50" s="240"/>
      <c r="M50" s="287"/>
      <c r="N50" s="288"/>
      <c r="O50" s="258"/>
      <c r="P50" s="258"/>
      <c r="Q50" s="239"/>
      <c r="R50" s="258"/>
      <c r="S50" s="258"/>
      <c r="T50" s="251"/>
    </row>
    <row r="51" spans="1:20" ht="12">
      <c r="A51" s="277" t="s">
        <v>288</v>
      </c>
      <c r="B51" s="301" t="s">
        <v>32</v>
      </c>
      <c r="C51" s="241"/>
      <c r="D51" s="242"/>
      <c r="E51" s="241"/>
      <c r="F51" s="242"/>
      <c r="G51" s="252"/>
      <c r="H51" s="302">
        <f>H50*H47/1000</f>
        <v>419000000</v>
      </c>
      <c r="I51" s="239"/>
      <c r="J51" s="258"/>
      <c r="K51" s="258"/>
      <c r="L51" s="240"/>
      <c r="M51" s="287"/>
      <c r="N51" s="288"/>
      <c r="O51" s="258"/>
      <c r="P51" s="258"/>
      <c r="Q51" s="239"/>
      <c r="R51" s="258"/>
      <c r="S51" s="258"/>
      <c r="T51" s="251"/>
    </row>
    <row r="52" spans="1:20" ht="12">
      <c r="A52" s="275"/>
      <c r="B52" s="292"/>
      <c r="C52" s="239"/>
      <c r="D52" s="240"/>
      <c r="E52" s="239"/>
      <c r="F52" s="240"/>
      <c r="G52" s="251"/>
      <c r="H52" s="284"/>
      <c r="I52" s="239"/>
      <c r="J52" s="258"/>
      <c r="K52" s="258"/>
      <c r="L52" s="240"/>
      <c r="M52" s="287"/>
      <c r="N52" s="288"/>
      <c r="O52" s="258"/>
      <c r="P52" s="258"/>
      <c r="Q52" s="239"/>
      <c r="R52" s="258"/>
      <c r="S52" s="258"/>
      <c r="T52" s="251"/>
    </row>
    <row r="53" spans="1:20" ht="12">
      <c r="A53" s="297" t="s">
        <v>259</v>
      </c>
      <c r="B53" s="303" t="s">
        <v>248</v>
      </c>
      <c r="C53" s="270"/>
      <c r="D53" s="272"/>
      <c r="E53" s="270"/>
      <c r="F53" s="272"/>
      <c r="G53" s="304"/>
      <c r="H53" s="300">
        <v>180</v>
      </c>
      <c r="I53" s="239"/>
      <c r="J53" s="258"/>
      <c r="K53" s="258"/>
      <c r="L53" s="240"/>
      <c r="M53" s="287"/>
      <c r="N53" s="288"/>
      <c r="O53" s="258"/>
      <c r="P53" s="258"/>
      <c r="Q53" s="239"/>
      <c r="R53" s="258"/>
      <c r="S53" s="258"/>
      <c r="T53" s="251"/>
    </row>
    <row r="54" spans="1:20" ht="22.5">
      <c r="A54" s="275" t="s">
        <v>257</v>
      </c>
      <c r="B54" s="292"/>
      <c r="C54" s="239"/>
      <c r="D54" s="240"/>
      <c r="E54" s="239"/>
      <c r="F54" s="240"/>
      <c r="G54" s="251"/>
      <c r="H54" s="324">
        <f>Param3!C34</f>
        <v>0.545</v>
      </c>
      <c r="I54" s="239"/>
      <c r="J54" s="258"/>
      <c r="K54" s="258"/>
      <c r="L54" s="240"/>
      <c r="M54" s="287"/>
      <c r="N54" s="288"/>
      <c r="O54" s="258"/>
      <c r="P54" s="258"/>
      <c r="Q54" s="239"/>
      <c r="R54" s="258"/>
      <c r="S54" s="258"/>
      <c r="T54" s="251"/>
    </row>
    <row r="55" spans="1:20" ht="21" customHeight="1">
      <c r="A55" s="260" t="s">
        <v>200</v>
      </c>
      <c r="B55" s="292" t="s">
        <v>258</v>
      </c>
      <c r="C55" s="239"/>
      <c r="D55" s="240"/>
      <c r="E55" s="239"/>
      <c r="F55" s="240"/>
      <c r="G55" s="251"/>
      <c r="H55" s="286">
        <v>14000</v>
      </c>
      <c r="I55" s="239"/>
      <c r="J55" s="258"/>
      <c r="K55" s="258"/>
      <c r="L55" s="240"/>
      <c r="M55" s="287"/>
      <c r="N55" s="288"/>
      <c r="O55" s="258"/>
      <c r="P55" s="258"/>
      <c r="Q55" s="239"/>
      <c r="R55" s="258"/>
      <c r="S55" s="258"/>
      <c r="T55" s="251"/>
    </row>
    <row r="56" spans="1:20" ht="22.5">
      <c r="A56" s="260"/>
      <c r="B56" s="292" t="s">
        <v>277</v>
      </c>
      <c r="C56" s="239"/>
      <c r="D56" s="240"/>
      <c r="E56" s="239"/>
      <c r="F56" s="240"/>
      <c r="G56" s="251"/>
      <c r="H56" s="296">
        <f>H55/H54</f>
        <v>25688.07339449541</v>
      </c>
      <c r="I56" s="239"/>
      <c r="J56" s="258"/>
      <c r="K56" s="258"/>
      <c r="L56" s="240"/>
      <c r="M56" s="287"/>
      <c r="N56" s="288"/>
      <c r="O56" s="283">
        <f>O83</f>
        <v>411.73</v>
      </c>
      <c r="P56" s="258"/>
      <c r="Q56" s="239"/>
      <c r="R56" s="258"/>
      <c r="S56" s="258"/>
      <c r="T56" s="251"/>
    </row>
    <row r="57" spans="1:20" ht="23.25" customHeight="1">
      <c r="A57" s="260" t="s">
        <v>292</v>
      </c>
      <c r="B57" s="292" t="s">
        <v>258</v>
      </c>
      <c r="C57" s="239"/>
      <c r="D57" s="240"/>
      <c r="E57" s="239"/>
      <c r="F57" s="240"/>
      <c r="G57" s="251"/>
      <c r="H57" s="296">
        <f>H55/Param3!C$14</f>
        <v>2000</v>
      </c>
      <c r="I57" s="239"/>
      <c r="J57" s="258"/>
      <c r="K57" s="258"/>
      <c r="L57" s="240"/>
      <c r="M57" s="287"/>
      <c r="N57" s="288"/>
      <c r="O57" s="258"/>
      <c r="P57" s="258"/>
      <c r="Q57" s="239"/>
      <c r="R57" s="258"/>
      <c r="S57" s="258"/>
      <c r="T57" s="251"/>
    </row>
    <row r="58" spans="1:20" ht="22.5">
      <c r="A58" s="260"/>
      <c r="B58" s="292" t="s">
        <v>277</v>
      </c>
      <c r="C58" s="239"/>
      <c r="D58" s="240"/>
      <c r="E58" s="239"/>
      <c r="F58" s="240"/>
      <c r="G58" s="251"/>
      <c r="H58" s="296">
        <f>H56/Param3!$C$14</f>
        <v>3669.7247706422017</v>
      </c>
      <c r="I58" s="239"/>
      <c r="J58" s="258"/>
      <c r="K58" s="258"/>
      <c r="L58" s="258"/>
      <c r="M58" s="287"/>
      <c r="N58" s="288"/>
      <c r="O58" s="665">
        <f>O56/Param3!$C$14</f>
        <v>58.81857142857143</v>
      </c>
      <c r="P58" s="258"/>
      <c r="Q58" s="239"/>
      <c r="R58" s="258"/>
      <c r="S58" s="258"/>
      <c r="T58" s="251"/>
    </row>
    <row r="59" spans="1:20" ht="22.5">
      <c r="A59" s="260"/>
      <c r="B59" s="292" t="s">
        <v>276</v>
      </c>
      <c r="C59" s="239"/>
      <c r="D59" s="240"/>
      <c r="E59" s="239"/>
      <c r="F59" s="240"/>
      <c r="G59" s="251"/>
      <c r="H59" s="296">
        <f>H58*Param3!$C$11</f>
        <v>1.8384774476697248E-11</v>
      </c>
      <c r="I59" s="239"/>
      <c r="J59" s="258"/>
      <c r="K59" s="258"/>
      <c r="L59" s="258"/>
      <c r="M59" s="287"/>
      <c r="N59" s="288"/>
      <c r="O59" s="665">
        <f>O58*Param3!$C$11</f>
        <v>2.946722815309539E-13</v>
      </c>
      <c r="P59" s="258"/>
      <c r="Q59" s="239"/>
      <c r="R59" s="258"/>
      <c r="S59" s="258"/>
      <c r="T59" s="251"/>
    </row>
    <row r="60" spans="1:20" ht="19.5" customHeight="1">
      <c r="A60" s="340" t="str">
        <f>A91</f>
        <v>nhDNA (остаток, в том числе bacDNA)</v>
      </c>
      <c r="B60" s="292" t="s">
        <v>276</v>
      </c>
      <c r="C60" s="239"/>
      <c r="D60" s="240"/>
      <c r="E60" s="239"/>
      <c r="F60" s="240"/>
      <c r="G60" s="251"/>
      <c r="H60" s="295"/>
      <c r="I60" s="239"/>
      <c r="J60" s="258"/>
      <c r="K60" s="258"/>
      <c r="L60" s="240"/>
      <c r="M60" s="287"/>
      <c r="N60" s="288"/>
      <c r="O60" s="258"/>
      <c r="P60" s="258"/>
      <c r="Q60" s="247">
        <f>Q91</f>
        <v>1.928964000000003E-09</v>
      </c>
      <c r="R60" s="258"/>
      <c r="S60" s="258"/>
      <c r="T60" s="251"/>
    </row>
    <row r="61" spans="1:20" ht="22.5">
      <c r="A61" s="340" t="str">
        <f>A93</f>
        <v>картированные nhDNA</v>
      </c>
      <c r="B61" s="292" t="s">
        <v>276</v>
      </c>
      <c r="C61" s="239"/>
      <c r="D61" s="240"/>
      <c r="E61" s="239"/>
      <c r="F61" s="240"/>
      <c r="G61" s="251"/>
      <c r="H61" s="295"/>
      <c r="I61" s="239"/>
      <c r="J61" s="258"/>
      <c r="K61" s="258"/>
      <c r="L61" s="240"/>
      <c r="M61" s="287"/>
      <c r="N61" s="288"/>
      <c r="O61" s="258"/>
      <c r="P61" s="258"/>
      <c r="Q61" s="247">
        <f>Q93</f>
        <v>6.751374000000011E-11</v>
      </c>
      <c r="R61" s="258"/>
      <c r="S61" s="258"/>
      <c r="T61" s="251"/>
    </row>
    <row r="62" spans="1:20" ht="12">
      <c r="A62" s="260"/>
      <c r="B62" s="292"/>
      <c r="C62" s="239"/>
      <c r="D62" s="240"/>
      <c r="E62" s="239"/>
      <c r="F62" s="240"/>
      <c r="G62" s="251"/>
      <c r="H62" s="295"/>
      <c r="I62" s="239"/>
      <c r="J62" s="258"/>
      <c r="K62" s="258"/>
      <c r="L62" s="240"/>
      <c r="M62" s="287"/>
      <c r="N62" s="288"/>
      <c r="O62" s="258"/>
      <c r="P62" s="258"/>
      <c r="Q62" s="247"/>
      <c r="R62" s="258"/>
      <c r="S62" s="258"/>
      <c r="T62" s="251"/>
    </row>
    <row r="63" spans="1:20" ht="12">
      <c r="A63" s="277" t="s">
        <v>289</v>
      </c>
      <c r="B63" s="307" t="s">
        <v>32</v>
      </c>
      <c r="C63" s="308"/>
      <c r="D63" s="309"/>
      <c r="E63" s="308"/>
      <c r="F63" s="309"/>
      <c r="G63" s="310"/>
      <c r="H63" s="311">
        <f>H56*H53/1000</f>
        <v>4623.853211009175</v>
      </c>
      <c r="I63" s="239"/>
      <c r="J63" s="258"/>
      <c r="K63" s="258"/>
      <c r="L63" s="240"/>
      <c r="M63" s="287"/>
      <c r="N63" s="288"/>
      <c r="O63" s="258"/>
      <c r="P63" s="258"/>
      <c r="Q63" s="239"/>
      <c r="R63" s="258"/>
      <c r="S63" s="258"/>
      <c r="T63" s="251"/>
    </row>
    <row r="64" spans="1:20" ht="12">
      <c r="A64" s="275"/>
      <c r="B64" s="261"/>
      <c r="C64" s="243"/>
      <c r="D64" s="244"/>
      <c r="E64" s="243"/>
      <c r="F64" s="244"/>
      <c r="G64" s="288"/>
      <c r="H64" s="295"/>
      <c r="I64" s="239"/>
      <c r="J64" s="258"/>
      <c r="K64" s="258"/>
      <c r="L64" s="240"/>
      <c r="M64" s="287"/>
      <c r="N64" s="288"/>
      <c r="O64" s="258"/>
      <c r="P64" s="258"/>
      <c r="Q64" s="239"/>
      <c r="R64" s="258"/>
      <c r="S64" s="258"/>
      <c r="T64" s="251"/>
    </row>
    <row r="65" spans="1:20" ht="12">
      <c r="A65" s="297" t="s">
        <v>260</v>
      </c>
      <c r="B65" s="303" t="s">
        <v>248</v>
      </c>
      <c r="C65" s="270"/>
      <c r="D65" s="272"/>
      <c r="E65" s="270"/>
      <c r="F65" s="272"/>
      <c r="G65" s="304"/>
      <c r="H65" s="300">
        <v>180</v>
      </c>
      <c r="I65" s="239"/>
      <c r="J65" s="258"/>
      <c r="K65" s="258"/>
      <c r="L65" s="240"/>
      <c r="M65" s="287"/>
      <c r="N65" s="288"/>
      <c r="O65" s="258"/>
      <c r="P65" s="258"/>
      <c r="Q65" s="239"/>
      <c r="R65" s="258"/>
      <c r="S65" s="258"/>
      <c r="T65" s="251"/>
    </row>
    <row r="66" spans="1:20" ht="12">
      <c r="A66" s="275" t="s">
        <v>261</v>
      </c>
      <c r="B66" s="292"/>
      <c r="C66" s="239"/>
      <c r="D66" s="240"/>
      <c r="E66" s="239"/>
      <c r="F66" s="240"/>
      <c r="G66" s="251"/>
      <c r="H66" s="325">
        <f>Param3!C35</f>
        <v>0.445</v>
      </c>
      <c r="I66" s="239"/>
      <c r="J66" s="258"/>
      <c r="K66" s="258"/>
      <c r="L66" s="240"/>
      <c r="M66" s="287"/>
      <c r="N66" s="288"/>
      <c r="O66" s="258"/>
      <c r="P66" s="258"/>
      <c r="Q66" s="239"/>
      <c r="R66" s="258"/>
      <c r="S66" s="258"/>
      <c r="T66" s="251"/>
    </row>
    <row r="67" spans="1:20" ht="20.25" customHeight="1">
      <c r="A67" s="275" t="s">
        <v>201</v>
      </c>
      <c r="B67" s="292" t="s">
        <v>258</v>
      </c>
      <c r="C67" s="239"/>
      <c r="D67" s="240"/>
      <c r="E67" s="239"/>
      <c r="F67" s="240"/>
      <c r="G67" s="251"/>
      <c r="H67" s="285">
        <v>2800000</v>
      </c>
      <c r="I67" s="239"/>
      <c r="J67" s="258"/>
      <c r="K67" s="258"/>
      <c r="L67" s="240"/>
      <c r="M67" s="287"/>
      <c r="N67" s="288"/>
      <c r="O67" s="258"/>
      <c r="P67" s="258"/>
      <c r="Q67" s="239"/>
      <c r="R67" s="258"/>
      <c r="S67" s="258"/>
      <c r="T67" s="251"/>
    </row>
    <row r="68" spans="1:20" ht="13.5" customHeight="1">
      <c r="A68" s="275"/>
      <c r="B68" s="292" t="s">
        <v>262</v>
      </c>
      <c r="C68" s="239"/>
      <c r="D68" s="240"/>
      <c r="E68" s="239"/>
      <c r="F68" s="240"/>
      <c r="G68" s="251"/>
      <c r="H68" s="306">
        <f>H67/H66</f>
        <v>6292134.831460674</v>
      </c>
      <c r="I68" s="239"/>
      <c r="J68" s="258"/>
      <c r="K68" s="258"/>
      <c r="L68" s="240"/>
      <c r="M68" s="287"/>
      <c r="N68" s="288"/>
      <c r="O68" s="258"/>
      <c r="P68" s="258"/>
      <c r="Q68" s="239"/>
      <c r="R68" s="258"/>
      <c r="S68" s="258"/>
      <c r="T68" s="251"/>
    </row>
    <row r="69" spans="1:20" ht="12">
      <c r="A69" s="277" t="s">
        <v>290</v>
      </c>
      <c r="B69" s="301" t="s">
        <v>32</v>
      </c>
      <c r="C69" s="241"/>
      <c r="D69" s="242"/>
      <c r="E69" s="241"/>
      <c r="F69" s="242"/>
      <c r="G69" s="252"/>
      <c r="H69" s="302">
        <f>H68*H65/1000</f>
        <v>1132584.2696629213</v>
      </c>
      <c r="I69" s="239"/>
      <c r="J69" s="258"/>
      <c r="K69" s="258"/>
      <c r="L69" s="240"/>
      <c r="M69" s="287"/>
      <c r="N69" s="288"/>
      <c r="O69" s="258"/>
      <c r="P69" s="258"/>
      <c r="Q69" s="239"/>
      <c r="R69" s="258"/>
      <c r="S69" s="258"/>
      <c r="T69" s="251"/>
    </row>
    <row r="70" spans="1:20" ht="12">
      <c r="A70" s="275"/>
      <c r="B70" s="292"/>
      <c r="C70" s="239"/>
      <c r="D70" s="240"/>
      <c r="E70" s="239"/>
      <c r="F70" s="240"/>
      <c r="G70" s="251"/>
      <c r="H70" s="285"/>
      <c r="I70" s="461"/>
      <c r="J70" s="462"/>
      <c r="K70" s="462"/>
      <c r="L70" s="622"/>
      <c r="M70" s="287"/>
      <c r="N70" s="288"/>
      <c r="O70" s="258"/>
      <c r="P70" s="258"/>
      <c r="Q70" s="239"/>
      <c r="R70" s="258"/>
      <c r="S70" s="258"/>
      <c r="T70" s="251"/>
    </row>
    <row r="71" spans="1:20" ht="12">
      <c r="A71" s="297" t="s">
        <v>263</v>
      </c>
      <c r="B71" s="303" t="s">
        <v>248</v>
      </c>
      <c r="C71" s="270"/>
      <c r="D71" s="272"/>
      <c r="E71" s="270"/>
      <c r="F71" s="272"/>
      <c r="G71" s="304"/>
      <c r="H71" s="312">
        <v>200</v>
      </c>
      <c r="I71" s="239"/>
      <c r="J71" s="258"/>
      <c r="K71" s="258"/>
      <c r="L71" s="240"/>
      <c r="M71" s="287"/>
      <c r="N71" s="288"/>
      <c r="O71" s="258"/>
      <c r="P71" s="258"/>
      <c r="Q71" s="239"/>
      <c r="R71" s="258"/>
      <c r="S71" s="258"/>
      <c r="T71" s="251"/>
    </row>
    <row r="72" spans="1:20" ht="12" customHeight="1">
      <c r="A72" s="275" t="s">
        <v>242</v>
      </c>
      <c r="B72" s="292" t="s">
        <v>243</v>
      </c>
      <c r="C72" s="239"/>
      <c r="D72" s="240"/>
      <c r="E72" s="239"/>
      <c r="F72" s="240"/>
      <c r="G72" s="251"/>
      <c r="H72" s="285">
        <v>3000</v>
      </c>
      <c r="I72" s="239"/>
      <c r="J72" s="258"/>
      <c r="K72" s="258"/>
      <c r="L72" s="240"/>
      <c r="M72" s="287"/>
      <c r="N72" s="288"/>
      <c r="O72" s="258"/>
      <c r="P72" s="258"/>
      <c r="Q72" s="239"/>
      <c r="R72" s="258"/>
      <c r="S72" s="258"/>
      <c r="T72" s="251"/>
    </row>
    <row r="73" spans="1:20" ht="12">
      <c r="A73" s="275"/>
      <c r="B73" s="292" t="s">
        <v>30</v>
      </c>
      <c r="C73" s="239"/>
      <c r="D73" s="240"/>
      <c r="E73" s="239"/>
      <c r="F73" s="240"/>
      <c r="G73" s="251"/>
      <c r="H73" s="296">
        <f>H72*5</f>
        <v>15000</v>
      </c>
      <c r="I73" s="239"/>
      <c r="J73" s="258"/>
      <c r="K73" s="258"/>
      <c r="L73" s="240"/>
      <c r="M73" s="287"/>
      <c r="N73" s="288"/>
      <c r="O73" s="258"/>
      <c r="P73" s="258"/>
      <c r="Q73" s="239"/>
      <c r="R73" s="258"/>
      <c r="S73" s="258"/>
      <c r="T73" s="251"/>
    </row>
    <row r="74" spans="1:20" ht="12">
      <c r="A74" s="277" t="s">
        <v>291</v>
      </c>
      <c r="B74" s="301" t="s">
        <v>32</v>
      </c>
      <c r="C74" s="241"/>
      <c r="D74" s="242"/>
      <c r="E74" s="241"/>
      <c r="F74" s="242"/>
      <c r="G74" s="252"/>
      <c r="H74" s="311">
        <f>H73*H71/1000</f>
        <v>3000</v>
      </c>
      <c r="I74" s="239"/>
      <c r="J74" s="258"/>
      <c r="K74" s="258"/>
      <c r="L74" s="240"/>
      <c r="M74" s="287"/>
      <c r="N74" s="288"/>
      <c r="O74" s="258"/>
      <c r="P74" s="258"/>
      <c r="Q74" s="239"/>
      <c r="R74" s="258"/>
      <c r="S74" s="258"/>
      <c r="T74" s="251"/>
    </row>
    <row r="75" spans="1:20" s="262" customFormat="1" ht="12">
      <c r="A75" s="293"/>
      <c r="B75" s="294"/>
      <c r="C75" s="263"/>
      <c r="D75" s="264"/>
      <c r="E75" s="263"/>
      <c r="F75" s="264"/>
      <c r="G75" s="267"/>
      <c r="H75" s="269"/>
      <c r="I75" s="619"/>
      <c r="J75" s="620"/>
      <c r="K75" s="620"/>
      <c r="L75" s="621"/>
      <c r="M75" s="268"/>
      <c r="N75" s="267"/>
      <c r="O75" s="268"/>
      <c r="P75" s="268"/>
      <c r="Q75" s="263"/>
      <c r="R75" s="268"/>
      <c r="S75" s="268"/>
      <c r="T75" s="267"/>
    </row>
    <row r="76" spans="1:20" ht="12">
      <c r="A76" s="270" t="s">
        <v>249</v>
      </c>
      <c r="B76" s="344" t="s">
        <v>315</v>
      </c>
      <c r="C76" s="270"/>
      <c r="D76" s="272"/>
      <c r="E76" s="270"/>
      <c r="F76" s="272"/>
      <c r="G76" s="304"/>
      <c r="H76" s="304"/>
      <c r="I76" s="271">
        <v>100</v>
      </c>
      <c r="J76" s="271">
        <v>100</v>
      </c>
      <c r="K76" s="271"/>
      <c r="L76" s="272"/>
      <c r="M76" s="287"/>
      <c r="N76" s="288"/>
      <c r="O76" s="258"/>
      <c r="P76" s="258"/>
      <c r="Q76" s="239"/>
      <c r="R76" s="258"/>
      <c r="S76" s="258"/>
      <c r="T76" s="251"/>
    </row>
    <row r="77" spans="1:20" ht="24">
      <c r="A77" s="364" t="s">
        <v>274</v>
      </c>
      <c r="B77" s="345" t="s">
        <v>316</v>
      </c>
      <c r="C77" s="239"/>
      <c r="D77" s="240"/>
      <c r="E77" s="239"/>
      <c r="F77" s="240"/>
      <c r="G77" s="251"/>
      <c r="H77" s="251"/>
      <c r="I77" s="317">
        <v>239.3</v>
      </c>
      <c r="J77" s="281">
        <v>652.6</v>
      </c>
      <c r="K77" s="258"/>
      <c r="L77" s="240"/>
      <c r="M77" s="287"/>
      <c r="N77" s="288"/>
      <c r="O77" s="258"/>
      <c r="P77" s="258"/>
      <c r="Q77" s="239"/>
      <c r="R77" s="258"/>
      <c r="S77" s="258"/>
      <c r="T77" s="251"/>
    </row>
    <row r="78" spans="1:20" ht="12">
      <c r="A78" s="365" t="s">
        <v>251</v>
      </c>
      <c r="B78" s="350" t="s">
        <v>32</v>
      </c>
      <c r="C78" s="241"/>
      <c r="D78" s="242"/>
      <c r="E78" s="241"/>
      <c r="F78" s="242"/>
      <c r="G78" s="252"/>
      <c r="H78" s="252"/>
      <c r="I78" s="318">
        <f>I77*I76</f>
        <v>23930</v>
      </c>
      <c r="J78" s="318">
        <f>J77*J76</f>
        <v>65260</v>
      </c>
      <c r="K78" s="259"/>
      <c r="L78" s="242"/>
      <c r="M78" s="287"/>
      <c r="N78" s="288"/>
      <c r="O78" s="258"/>
      <c r="P78" s="258"/>
      <c r="Q78" s="239"/>
      <c r="R78" s="258"/>
      <c r="S78" s="258"/>
      <c r="T78" s="251"/>
    </row>
    <row r="79" spans="1:20" ht="12">
      <c r="A79" s="366" t="s">
        <v>250</v>
      </c>
      <c r="B79" s="344" t="s">
        <v>248</v>
      </c>
      <c r="C79" s="270"/>
      <c r="D79" s="272"/>
      <c r="E79" s="270"/>
      <c r="F79" s="272"/>
      <c r="G79" s="304"/>
      <c r="H79" s="304"/>
      <c r="I79" s="313"/>
      <c r="J79" s="314"/>
      <c r="K79" s="271">
        <v>200</v>
      </c>
      <c r="L79" s="272">
        <v>200</v>
      </c>
      <c r="M79" s="287"/>
      <c r="N79" s="288"/>
      <c r="O79" s="258"/>
      <c r="P79" s="258"/>
      <c r="Q79" s="239"/>
      <c r="R79" s="258"/>
      <c r="S79" s="258"/>
      <c r="T79" s="251"/>
    </row>
    <row r="80" spans="1:20" ht="12">
      <c r="A80" s="364" t="s">
        <v>273</v>
      </c>
      <c r="B80" s="345" t="s">
        <v>241</v>
      </c>
      <c r="C80" s="239"/>
      <c r="D80" s="240"/>
      <c r="E80" s="250"/>
      <c r="F80" s="240"/>
      <c r="G80" s="251"/>
      <c r="H80" s="251"/>
      <c r="I80" s="279">
        <f>I77*Param3!C33</f>
        <v>2.3930000000000002</v>
      </c>
      <c r="J80" s="280">
        <f>J77*Param3!C33</f>
        <v>6.526000000000001</v>
      </c>
      <c r="K80" s="281">
        <v>2.4</v>
      </c>
      <c r="L80" s="240">
        <v>3.1</v>
      </c>
      <c r="M80" s="287"/>
      <c r="N80" s="288"/>
      <c r="O80" s="258"/>
      <c r="P80" s="258"/>
      <c r="Q80" s="239"/>
      <c r="R80" s="258"/>
      <c r="S80" s="258"/>
      <c r="T80" s="251"/>
    </row>
    <row r="81" spans="1:20" ht="12">
      <c r="A81" s="365" t="s">
        <v>252</v>
      </c>
      <c r="B81" s="350" t="s">
        <v>32</v>
      </c>
      <c r="C81" s="241"/>
      <c r="D81" s="242"/>
      <c r="E81" s="241"/>
      <c r="F81" s="242"/>
      <c r="G81" s="252"/>
      <c r="H81" s="252"/>
      <c r="I81" s="241"/>
      <c r="J81" s="259"/>
      <c r="K81" s="315">
        <f>K79*K80</f>
        <v>480</v>
      </c>
      <c r="L81" s="316">
        <f>L79*L80</f>
        <v>620</v>
      </c>
      <c r="M81" s="618"/>
      <c r="N81" s="671"/>
      <c r="O81" s="258"/>
      <c r="P81" s="258"/>
      <c r="Q81" s="239"/>
      <c r="R81" s="258"/>
      <c r="S81" s="258"/>
      <c r="T81" s="251"/>
    </row>
    <row r="82" spans="1:20" s="262" customFormat="1" ht="12">
      <c r="A82" s="328"/>
      <c r="B82" s="346"/>
      <c r="C82" s="263"/>
      <c r="D82" s="264"/>
      <c r="E82" s="263"/>
      <c r="F82" s="264"/>
      <c r="G82" s="267"/>
      <c r="H82" s="267"/>
      <c r="I82" s="263"/>
      <c r="J82" s="268"/>
      <c r="K82" s="329"/>
      <c r="L82" s="330"/>
      <c r="M82" s="329"/>
      <c r="N82" s="681"/>
      <c r="O82" s="268"/>
      <c r="P82" s="268"/>
      <c r="Q82" s="263"/>
      <c r="R82" s="268"/>
      <c r="S82" s="268"/>
      <c r="T82" s="267"/>
    </row>
    <row r="83" spans="1:20" ht="24">
      <c r="A83" s="239" t="s">
        <v>275</v>
      </c>
      <c r="B83" s="345" t="s">
        <v>277</v>
      </c>
      <c r="C83" s="239"/>
      <c r="D83" s="240"/>
      <c r="E83" s="239"/>
      <c r="F83" s="240"/>
      <c r="G83" s="251"/>
      <c r="H83" s="251"/>
      <c r="I83" s="239"/>
      <c r="J83" s="258"/>
      <c r="K83" s="258"/>
      <c r="L83" s="240"/>
      <c r="M83" s="287"/>
      <c r="N83" s="288"/>
      <c r="O83" s="666">
        <v>411.73</v>
      </c>
      <c r="P83" s="332">
        <v>5289.87</v>
      </c>
      <c r="Q83" s="239"/>
      <c r="R83" s="258"/>
      <c r="S83" s="258"/>
      <c r="T83" s="251"/>
    </row>
    <row r="84" spans="1:20" ht="24">
      <c r="A84" s="258"/>
      <c r="B84" s="345" t="s">
        <v>276</v>
      </c>
      <c r="C84" s="239"/>
      <c r="D84" s="240"/>
      <c r="E84" s="239"/>
      <c r="F84" s="240"/>
      <c r="G84" s="251"/>
      <c r="H84" s="251"/>
      <c r="I84" s="239"/>
      <c r="J84" s="258"/>
      <c r="K84" s="258"/>
      <c r="L84" s="240"/>
      <c r="M84" s="287"/>
      <c r="N84" s="288"/>
      <c r="O84" s="667">
        <f>O83*Param3!C16</f>
        <v>3.555123858E-16</v>
      </c>
      <c r="P84" s="332"/>
      <c r="Q84" s="239"/>
      <c r="R84" s="258"/>
      <c r="S84" s="258"/>
      <c r="T84" s="251"/>
    </row>
    <row r="85" spans="1:20" ht="24">
      <c r="A85" s="327" t="s">
        <v>313</v>
      </c>
      <c r="B85" s="345" t="s">
        <v>276</v>
      </c>
      <c r="C85" s="239"/>
      <c r="D85" s="240"/>
      <c r="E85" s="239"/>
      <c r="F85" s="240"/>
      <c r="G85" s="251"/>
      <c r="H85" s="251"/>
      <c r="I85" s="239"/>
      <c r="J85" s="258"/>
      <c r="K85" s="258"/>
      <c r="L85" s="240"/>
      <c r="M85" s="287"/>
      <c r="N85" s="288"/>
      <c r="O85" s="668">
        <v>3.785E-08</v>
      </c>
      <c r="P85" s="332">
        <v>1.92564E-06</v>
      </c>
      <c r="Q85" s="239"/>
      <c r="R85" s="258"/>
      <c r="S85" s="258"/>
      <c r="T85" s="251"/>
    </row>
    <row r="86" spans="1:20" s="262" customFormat="1" ht="12">
      <c r="A86" s="263"/>
      <c r="B86" s="346"/>
      <c r="C86" s="263"/>
      <c r="D86" s="264"/>
      <c r="E86" s="263"/>
      <c r="F86" s="264"/>
      <c r="G86" s="267"/>
      <c r="H86" s="267"/>
      <c r="I86" s="263"/>
      <c r="J86" s="268"/>
      <c r="K86" s="268"/>
      <c r="L86" s="264"/>
      <c r="M86" s="268"/>
      <c r="N86" s="267"/>
      <c r="O86" s="268"/>
      <c r="P86" s="268"/>
      <c r="Q86" s="263"/>
      <c r="R86" s="268"/>
      <c r="S86" s="268"/>
      <c r="T86" s="267"/>
    </row>
    <row r="87" spans="1:20" s="238" customFormat="1" ht="24">
      <c r="A87" s="327" t="s">
        <v>314</v>
      </c>
      <c r="B87" s="347" t="s">
        <v>317</v>
      </c>
      <c r="C87" s="243"/>
      <c r="D87" s="244"/>
      <c r="E87" s="243"/>
      <c r="F87" s="244"/>
      <c r="G87" s="288"/>
      <c r="H87" s="288"/>
      <c r="I87" s="243"/>
      <c r="J87" s="287"/>
      <c r="K87" s="287"/>
      <c r="L87" s="244"/>
      <c r="M87" s="287"/>
      <c r="N87" s="288"/>
      <c r="O87" s="287"/>
      <c r="P87" s="287"/>
      <c r="Q87" s="243">
        <v>55.43</v>
      </c>
      <c r="R87" s="287">
        <v>197.23</v>
      </c>
      <c r="S87" s="287">
        <v>350.86</v>
      </c>
      <c r="T87" s="288"/>
    </row>
    <row r="88" spans="1:20" s="238" customFormat="1" ht="24">
      <c r="A88" s="501"/>
      <c r="B88" s="347" t="s">
        <v>276</v>
      </c>
      <c r="C88" s="243"/>
      <c r="D88" s="244"/>
      <c r="E88" s="243"/>
      <c r="F88" s="244"/>
      <c r="G88" s="288"/>
      <c r="H88" s="288"/>
      <c r="I88" s="243"/>
      <c r="J88" s="287"/>
      <c r="K88" s="287"/>
      <c r="L88" s="244"/>
      <c r="M88" s="287"/>
      <c r="N88" s="288"/>
      <c r="O88" s="287"/>
      <c r="P88" s="287"/>
      <c r="Q88" s="245">
        <f>Q87*Param3!$C3</f>
        <v>5.543E-08</v>
      </c>
      <c r="R88" s="282">
        <f>R87*Param3!$C3</f>
        <v>1.9723E-07</v>
      </c>
      <c r="S88" s="282">
        <f>S87*Param3!$C3</f>
        <v>3.5086000000000006E-07</v>
      </c>
      <c r="T88" s="290">
        <f>T97</f>
        <v>1.3E-06</v>
      </c>
    </row>
    <row r="89" spans="1:20" s="238" customFormat="1" ht="12">
      <c r="A89" s="327" t="s">
        <v>286</v>
      </c>
      <c r="B89" s="347" t="s">
        <v>32</v>
      </c>
      <c r="C89" s="243"/>
      <c r="D89" s="244"/>
      <c r="E89" s="243"/>
      <c r="F89" s="244"/>
      <c r="G89" s="288"/>
      <c r="H89" s="288"/>
      <c r="I89" s="243"/>
      <c r="J89" s="287"/>
      <c r="K89" s="287"/>
      <c r="L89" s="244"/>
      <c r="M89" s="287"/>
      <c r="N89" s="288"/>
      <c r="O89" s="287"/>
      <c r="P89" s="287"/>
      <c r="Q89" s="339">
        <v>26644704</v>
      </c>
      <c r="R89" s="333">
        <v>25960730</v>
      </c>
      <c r="S89" s="385">
        <v>25661812</v>
      </c>
      <c r="T89" s="288"/>
    </row>
    <row r="90" spans="1:21" s="238" customFormat="1" ht="12">
      <c r="A90" s="327" t="s">
        <v>285</v>
      </c>
      <c r="B90" s="347"/>
      <c r="C90" s="243"/>
      <c r="D90" s="244"/>
      <c r="E90" s="243"/>
      <c r="F90" s="244"/>
      <c r="G90" s="288"/>
      <c r="H90" s="288"/>
      <c r="I90" s="243"/>
      <c r="J90" s="287"/>
      <c r="K90" s="287"/>
      <c r="L90" s="244"/>
      <c r="M90" s="287"/>
      <c r="N90" s="288"/>
      <c r="O90" s="287"/>
      <c r="P90" s="287"/>
      <c r="Q90" s="335">
        <v>0.9652</v>
      </c>
      <c r="R90" s="334">
        <v>0.9779</v>
      </c>
      <c r="S90" s="386">
        <v>0.9722</v>
      </c>
      <c r="T90" s="288"/>
      <c r="U90" s="336"/>
    </row>
    <row r="91" spans="1:20" s="238" customFormat="1" ht="24">
      <c r="A91" s="501" t="s">
        <v>293</v>
      </c>
      <c r="B91" s="347" t="s">
        <v>276</v>
      </c>
      <c r="C91" s="243"/>
      <c r="D91" s="244"/>
      <c r="E91" s="243"/>
      <c r="F91" s="244"/>
      <c r="G91" s="288"/>
      <c r="H91" s="288"/>
      <c r="I91" s="243"/>
      <c r="J91" s="287"/>
      <c r="K91" s="287"/>
      <c r="L91" s="244"/>
      <c r="M91" s="287"/>
      <c r="N91" s="288"/>
      <c r="O91" s="287"/>
      <c r="P91" s="287"/>
      <c r="Q91" s="337">
        <f>Q88*(100%-Q90)</f>
        <v>1.928964000000003E-09</v>
      </c>
      <c r="R91" s="338">
        <f>R88*(100%-R90)</f>
        <v>4.3587830000000015E-09</v>
      </c>
      <c r="S91" s="338">
        <f>S88*(100%-S90)</f>
        <v>9.753908000000018E-09</v>
      </c>
      <c r="T91" s="288"/>
    </row>
    <row r="92" spans="1:20" s="238" customFormat="1" ht="33.75">
      <c r="A92" s="327" t="s">
        <v>604</v>
      </c>
      <c r="B92" s="347"/>
      <c r="C92" s="243"/>
      <c r="D92" s="244"/>
      <c r="E92" s="243"/>
      <c r="F92" s="244"/>
      <c r="G92" s="288"/>
      <c r="H92" s="288"/>
      <c r="I92" s="243"/>
      <c r="J92" s="287"/>
      <c r="K92" s="287"/>
      <c r="L92" s="244"/>
      <c r="M92" s="287"/>
      <c r="N92" s="288"/>
      <c r="O92" s="287"/>
      <c r="P92" s="287"/>
      <c r="Q92" s="335">
        <v>0.035</v>
      </c>
      <c r="R92" s="599">
        <v>0.0424</v>
      </c>
      <c r="S92" s="386">
        <v>0.0231</v>
      </c>
      <c r="T92" s="288"/>
    </row>
    <row r="93" spans="1:20" s="238" customFormat="1" ht="24">
      <c r="A93" s="243" t="s">
        <v>284</v>
      </c>
      <c r="B93" s="347" t="s">
        <v>276</v>
      </c>
      <c r="C93" s="243"/>
      <c r="D93" s="244"/>
      <c r="E93" s="243"/>
      <c r="F93" s="244"/>
      <c r="G93" s="288"/>
      <c r="H93" s="288"/>
      <c r="I93" s="243"/>
      <c r="J93" s="287"/>
      <c r="K93" s="287"/>
      <c r="L93" s="244"/>
      <c r="M93" s="287"/>
      <c r="N93" s="288"/>
      <c r="O93" s="287"/>
      <c r="P93" s="287"/>
      <c r="Q93" s="245">
        <f>Q91*Q92</f>
        <v>6.751374000000011E-11</v>
      </c>
      <c r="R93" s="282">
        <f>R91*R92</f>
        <v>1.8481239920000007E-10</v>
      </c>
      <c r="S93" s="282">
        <f>S91*S92</f>
        <v>2.253152748000004E-10</v>
      </c>
      <c r="T93" s="288"/>
    </row>
    <row r="94" spans="1:20" s="238" customFormat="1" ht="9.75">
      <c r="A94" s="308" t="s">
        <v>605</v>
      </c>
      <c r="B94" s="351" t="s">
        <v>32</v>
      </c>
      <c r="C94" s="308"/>
      <c r="D94" s="309"/>
      <c r="E94" s="308"/>
      <c r="F94" s="309"/>
      <c r="G94" s="310"/>
      <c r="H94" s="310"/>
      <c r="I94" s="308"/>
      <c r="J94" s="331"/>
      <c r="K94" s="331"/>
      <c r="L94" s="309"/>
      <c r="M94" s="331"/>
      <c r="N94" s="310"/>
      <c r="O94" s="331"/>
      <c r="P94" s="331"/>
      <c r="Q94" s="597">
        <f>Q89*(100%-Q90)*Q92</f>
        <v>32453.249472000054</v>
      </c>
      <c r="R94" s="598">
        <f>R89*(100%-R90)*R92</f>
        <v>24326.24243920001</v>
      </c>
      <c r="S94" s="598">
        <f>S89*(100%-S90)*S92</f>
        <v>16479.502430160028</v>
      </c>
      <c r="T94" s="288"/>
    </row>
    <row r="95" spans="2:20" s="262" customFormat="1" ht="9.75">
      <c r="B95" s="384"/>
      <c r="N95" s="682"/>
      <c r="T95" s="267"/>
    </row>
    <row r="96" spans="1:20" ht="20.25">
      <c r="A96" s="270" t="s">
        <v>311</v>
      </c>
      <c r="B96" s="341" t="s">
        <v>312</v>
      </c>
      <c r="C96" s="271"/>
      <c r="D96" s="271"/>
      <c r="E96" s="271"/>
      <c r="F96" s="271"/>
      <c r="G96" s="271"/>
      <c r="H96" s="271"/>
      <c r="I96" s="271"/>
      <c r="J96" s="271"/>
      <c r="K96" s="271"/>
      <c r="L96" s="271"/>
      <c r="M96" s="611"/>
      <c r="N96" s="611"/>
      <c r="O96" s="271"/>
      <c r="P96" s="271"/>
      <c r="Q96" s="271"/>
      <c r="R96" s="271"/>
      <c r="S96" s="271"/>
      <c r="T96" s="304">
        <v>1.3</v>
      </c>
    </row>
    <row r="97" spans="1:20" ht="20.25">
      <c r="A97" s="241"/>
      <c r="B97" s="343" t="s">
        <v>276</v>
      </c>
      <c r="C97" s="259"/>
      <c r="D97" s="259"/>
      <c r="E97" s="259"/>
      <c r="F97" s="259"/>
      <c r="G97" s="259"/>
      <c r="H97" s="259"/>
      <c r="I97" s="259"/>
      <c r="J97" s="259"/>
      <c r="K97" s="259"/>
      <c r="L97" s="259"/>
      <c r="M97" s="331"/>
      <c r="N97" s="331"/>
      <c r="O97" s="259"/>
      <c r="P97" s="259"/>
      <c r="Q97" s="259"/>
      <c r="R97" s="259"/>
      <c r="S97" s="259"/>
      <c r="T97" s="389">
        <f>T96*Param3!C3/Param3!C5</f>
        <v>1.3E-06</v>
      </c>
    </row>
  </sheetData>
  <mergeCells count="58">
    <mergeCell ref="Q7:S7"/>
    <mergeCell ref="Q6:S6"/>
    <mergeCell ref="Q2:S2"/>
    <mergeCell ref="Q3:S3"/>
    <mergeCell ref="Q4:S4"/>
    <mergeCell ref="Q5:S5"/>
    <mergeCell ref="C9:D9"/>
    <mergeCell ref="E9:F9"/>
    <mergeCell ref="I11:L11"/>
    <mergeCell ref="M1:N1"/>
    <mergeCell ref="E2:F2"/>
    <mergeCell ref="E3:F3"/>
    <mergeCell ref="E4:F4"/>
    <mergeCell ref="E5:F5"/>
    <mergeCell ref="E7:F7"/>
    <mergeCell ref="E6:F6"/>
    <mergeCell ref="Q11:S11"/>
    <mergeCell ref="O8:P8"/>
    <mergeCell ref="O9:P9"/>
    <mergeCell ref="O10:P10"/>
    <mergeCell ref="Q8:S8"/>
    <mergeCell ref="Q9:S9"/>
    <mergeCell ref="Q10:S10"/>
    <mergeCell ref="O14:P14"/>
    <mergeCell ref="O2:P2"/>
    <mergeCell ref="O3:P3"/>
    <mergeCell ref="O4:P4"/>
    <mergeCell ref="O5:P5"/>
    <mergeCell ref="O11:P11"/>
    <mergeCell ref="C14:D14"/>
    <mergeCell ref="C10:D10"/>
    <mergeCell ref="C2:D2"/>
    <mergeCell ref="C3:D3"/>
    <mergeCell ref="C4:D4"/>
    <mergeCell ref="C5:D5"/>
    <mergeCell ref="C6:D6"/>
    <mergeCell ref="C7:D7"/>
    <mergeCell ref="C11:F11"/>
    <mergeCell ref="C8:D8"/>
    <mergeCell ref="C15:D15"/>
    <mergeCell ref="C16:D16"/>
    <mergeCell ref="E15:F15"/>
    <mergeCell ref="E16:F16"/>
    <mergeCell ref="E14:F14"/>
    <mergeCell ref="I2:L2"/>
    <mergeCell ref="I3:L3"/>
    <mergeCell ref="I4:L4"/>
    <mergeCell ref="I5:L5"/>
    <mergeCell ref="I8:L8"/>
    <mergeCell ref="I9:L9"/>
    <mergeCell ref="I10:L10"/>
    <mergeCell ref="E10:F10"/>
    <mergeCell ref="E8:F8"/>
    <mergeCell ref="I7:L7"/>
    <mergeCell ref="O7:P7"/>
    <mergeCell ref="O6:P6"/>
    <mergeCell ref="I6:J6"/>
    <mergeCell ref="K6:L6"/>
  </mergeCells>
  <hyperlinks>
    <hyperlink ref="A26" r:id="rId1" display="Proteobacteria phylum (Pbac)"/>
    <hyperlink ref="A23" r:id="rId2" display="Eubacteria"/>
    <hyperlink ref="Q9:S9" r:id="rId3" display="Qubit dsDNA HS Assay Kit"/>
    <hyperlink ref="T7" r:id="rId4" display="MolYsis Complete5"/>
    <hyperlink ref="N2" r:id="rId5" display="Genotek"/>
  </hyperlinks>
  <printOptions/>
  <pageMargins left="0.75" right="0.75" top="1" bottom="1" header="0.5" footer="0.5"/>
  <pageSetup horizontalDpi="600" verticalDpi="600" orientation="portrait" paperSize="9"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Песляк</dc:creator>
  <cp:keywords/>
  <dc:description/>
  <cp:lastModifiedBy>Михаил Песляк</cp:lastModifiedBy>
  <cp:lastPrinted>2017-04-22T16:47:23Z</cp:lastPrinted>
  <dcterms:created xsi:type="dcterms:W3CDTF">2017-04-18T08:35:55Z</dcterms:created>
  <dcterms:modified xsi:type="dcterms:W3CDTF">2017-12-09T22:58:52Z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